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QLDtQ+8vN9IhupdxTM4Sj/YIW1xJckAb6a4t3F1lr3FSl6hHpQZ2n1dVPDCDii56Y+Adm8bhDNAtB2ihbfX9g==" workbookSaltValue="quhn0uRPwThn1CRejmt7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BD9" i="8"/>
  <c r="BF9" i="8"/>
  <c r="L22" i="2"/>
  <c r="C30" i="7"/>
  <c r="X19" i="16"/>
  <c r="AO14" i="21"/>
  <c r="AA11" i="16"/>
  <c r="AP14" i="16"/>
  <c r="V9" i="16"/>
  <c r="BG16" i="13"/>
  <c r="BE16" i="13"/>
  <c r="X32" i="20"/>
  <c r="G30" i="14"/>
  <c r="G23" i="14"/>
  <c r="BF18" i="8" l="1"/>
  <c r="BF17" i="8"/>
  <c r="BD12" i="8"/>
  <c r="H12" i="7" s="1"/>
  <c r="BE17" i="13"/>
  <c r="L16" i="2"/>
  <c r="BK10" i="11"/>
  <c r="BL22" i="11"/>
  <c r="Q16" i="17"/>
  <c r="BK20" i="11"/>
  <c r="BF12" i="11"/>
  <c r="T17" i="11"/>
  <c r="R28" i="14"/>
  <c r="S11" i="17"/>
  <c r="BV10" i="16"/>
  <c r="BW16" i="20"/>
  <c r="BW17" i="20"/>
  <c r="BU21" i="17"/>
  <c r="BU11" i="17"/>
  <c r="BJ28" i="11"/>
  <c r="AZ9" i="11"/>
  <c r="AZ14" i="11" s="1"/>
  <c r="AZ13" i="11"/>
  <c r="BI19" i="11"/>
  <c r="BI25" i="11"/>
  <c r="BD17" i="13"/>
  <c r="Z14" i="17"/>
  <c r="B16" i="6"/>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O18" i="11"/>
  <c r="AB32" i="20"/>
  <c r="S32" i="20"/>
  <c r="N32" i="20"/>
  <c r="AA32" i="20"/>
  <c r="AN32" i="20"/>
  <c r="Z32" i="20"/>
  <c r="T32" i="20"/>
  <c r="AM32" i="20"/>
  <c r="Q32" i="20"/>
  <c r="W32" i="21"/>
  <c r="E32" i="20"/>
  <c r="AV32" i="20"/>
  <c r="O32" i="20"/>
  <c r="AQ32" i="21"/>
  <c r="Y32" i="20"/>
  <c r="L32" i="20"/>
  <c r="AJ32" i="20"/>
  <c r="AH32" i="20"/>
  <c r="I32" i="20"/>
  <c r="AI32" i="20"/>
  <c r="R32" i="20"/>
  <c r="G14" i="14"/>
  <c r="AC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AW32" i="11"/>
  <c r="AV32" i="21"/>
  <c r="K32" i="20"/>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21"/>
  <c r="AB32" i="17"/>
  <c r="BS32" i="16"/>
  <c r="F32" i="21"/>
  <c r="Y32" i="21"/>
  <c r="M32" i="17"/>
  <c r="P32" i="21"/>
  <c r="AK32" i="11"/>
  <c r="H32" i="16"/>
  <c r="AS32" i="17"/>
  <c r="BQ32" i="16"/>
  <c r="AU32" i="16"/>
  <c r="AN32" i="11"/>
  <c r="N32" i="11"/>
  <c r="E32" i="17"/>
  <c r="AM32" i="16"/>
  <c r="AV32" i="11"/>
  <c r="AG32" i="17"/>
  <c r="I32" i="11"/>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V32" i="21"/>
  <c r="E32" i="12"/>
  <c r="AD32" i="21"/>
  <c r="AR32" i="21"/>
  <c r="Y32" i="17"/>
  <c r="AL32" i="17"/>
  <c r="Z32" i="11"/>
  <c r="L32" i="16"/>
  <c r="G32" i="12"/>
  <c r="AM32" i="21"/>
  <c r="AU32" i="11"/>
  <c r="AS32" i="16"/>
  <c r="AR32" i="16"/>
  <c r="F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<sst xmlns="http://schemas.openxmlformats.org/spreadsheetml/2006/main" count="2662" uniqueCount="1174">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</sst>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GopotWyZfHGzn97cghhWP72/+ZBFfI7ehEdtpNGe6Izf473jsgtEsq69cw6Nc9WhaklLTUxiqCo9EB+MKaB75Q==" saltValue="kWwvWV+F7AWMUn4Av3YX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CATALUÑA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48</v>
      </c>
      <c r="D10" s="239">
        <f>IF(ISNUMBER(Datos!I10),Datos!I10," - ")</f>
        <v>48</v>
      </c>
      <c r="E10" s="240">
        <f>IF(ISNUMBER(Datos!J10),Datos!J10," - ")</f>
        <v>97</v>
      </c>
      <c r="F10" s="240">
        <f>IF(ISNUMBER(Datos!K10),Datos!K10," - ")</f>
        <v>87</v>
      </c>
      <c r="G10" s="1390" t="str">
        <f>IF(Datos!E10&lt;&gt;"",Datos!E10,Datos!D10)</f>
        <v>37</v>
      </c>
      <c r="H10" s="241">
        <f>IF(ISNUMBER(Datos!L10),Datos!L10," - ")</f>
        <v>58</v>
      </c>
      <c r="I10" s="1400" t="str">
        <f>IF(ISNUMBER(Datos!AS10/Datos!BM10),Datos!AS10/Datos!BM10," - ")</f>
        <v xml:space="preserve"> - </v>
      </c>
      <c r="J10" s="1401">
        <f>IF(ISNUMBER(Datos!BY10/Datos!CN10),Datos!BY10/Datos!CN10," - ")</f>
        <v>0</v>
      </c>
      <c r="K10" s="244">
        <f t="shared" ref="K10:K13" si="1">IF(ISNUMBER((E10-F10)/C10),(E10-F10)/C10," - ")</f>
        <v>0.20833333333333334</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7.8701084394153709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48</v>
      </c>
      <c r="D14" s="1407">
        <f>SUBTOTAL(9,D9:D13)</f>
        <v>48</v>
      </c>
      <c r="E14" s="1408">
        <f>SUBTOTAL(9,E9:E13)</f>
        <v>97</v>
      </c>
      <c r="F14" s="1409">
        <f>SUBTOTAL(9,F9:F13)</f>
        <v>87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2396</v>
      </c>
      <c r="D17" s="239">
        <f>IF(ISNUMBER(IF(D_I="SI",Datos!I17,Datos!I17+Datos!AC17)),IF(D_I="SI",Datos!I17,Datos!I17+Datos!AC17)," - ")</f>
        <v>2448</v>
      </c>
      <c r="E17" s="240">
        <f>IF(ISNUMBER(IF(D_I="SI",Datos!J17,Datos!J17+Datos!AD17)),IF(D_I="SI",Datos!J17,Datos!J17+Datos!AD17)," - ")</f>
        <v>8905</v>
      </c>
      <c r="F17" s="240">
        <f>IF(ISNUMBER(IF(D_I="SI",Datos!K17,Datos!K17+Datos!AE17)),IF(D_I="SI",Datos!K17,Datos!K17+Datos!AE17)," - ")</f>
        <v>9108</v>
      </c>
      <c r="G17" s="1390" t="str">
        <f>IF(Datos!E17&lt;&gt;"",Datos!E17,Datos!D17)</f>
        <v>04</v>
      </c>
      <c r="H17" s="241">
        <f>IF(ISNUMBER(IF(D_I="SI",Datos!L17,Datos!L17+Datos!AF17)),IF(D_I="SI",Datos!L17,Datos!L17+Datos!AF17)," - ")</f>
        <v>2193</v>
      </c>
      <c r="I17" s="1400" t="str">
        <f>IF(ISNUMBER(Datos!AS17/Datos!BM17),Datos!AS17/Datos!BM17," - ")</f>
        <v xml:space="preserve"> - </v>
      </c>
      <c r="J17" s="1401">
        <f>IF(ISNUMBER(Datos!BY17/Datos!CN17),Datos!BY17/Datos!CN17," - ")</f>
        <v>0</v>
      </c>
      <c r="K17" s="244">
        <f t="shared" si="3"/>
        <v>-8.4724540901502499E-2</v>
      </c>
      <c r="L17" s="1402">
        <f>IF(ISNUMBER(NºAsuntos!I17/NºAsuntos!G17),(NºAsuntos!I17/NºAsuntos!G17)*11," - ")</f>
        <v>2.6485507246376812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177</v>
      </c>
      <c r="D18" s="239">
        <f>IF(ISNUMBER(IF(D_I="SI",Datos!I18,Datos!I18+Datos!AC18)),IF(D_I="SI",Datos!I18,Datos!I18+Datos!AC18)," - ")</f>
        <v>177</v>
      </c>
      <c r="E18" s="240">
        <f>IF(ISNUMBER(IF(D_I="SI",Datos!J18,Datos!J18+Datos!AD18)),IF(D_I="SI",Datos!J18,Datos!J18+Datos!AD18)," - ")</f>
        <v>739</v>
      </c>
      <c r="F18" s="240">
        <f>IF(ISNUMBER(IF(D_I="SI",Datos!K18,Datos!K18+Datos!AE18)),IF(D_I="SI",Datos!K18,Datos!K18+Datos!AE18)," - ")</f>
        <v>771</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-0.1807909604519774</v>
      </c>
      <c r="L18" s="1402">
        <f>IF(ISNUMBER(NºAsuntos!I18/NºAsuntos!G18),(NºAsuntos!I18/NºAsuntos!G18)*11," - ")</f>
        <v>2.0687418936446171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509</v>
      </c>
      <c r="D21" s="239">
        <f>IF(ISNUMBER(Datos!I21),Datos!I21," - ")</f>
        <v>480</v>
      </c>
      <c r="E21" s="240">
        <f>IF(ISNUMBER(Datos!J21),Datos!J21," - ")</f>
        <v>1142</v>
      </c>
      <c r="F21" s="240">
        <f>IF(ISNUMBER(Datos!K21),Datos!K21," - ")</f>
        <v>1106</v>
      </c>
      <c r="G21" s="1390" t="str">
        <f>IF(Datos!E21&lt;&gt;"",Datos!E21,Datos!D21)</f>
        <v>09</v>
      </c>
      <c r="H21" s="241">
        <f>IF(ISNUMBER(Datos!L21),Datos!L21," - ")</f>
        <v>545</v>
      </c>
      <c r="I21" s="1400" t="str">
        <f>IF(ISNUMBER(Datos!AS21/Datos!BM21),Datos!AS21/Datos!BM21," - ")</f>
        <v xml:space="preserve"> - </v>
      </c>
      <c r="J21" s="1401" t="str">
        <f>IF(ISNUMBER(Datos!BY21/Datos!CN21),Datos!BY21/Datos!CN21," - ")</f>
        <v xml:space="preserve"> - </v>
      </c>
      <c r="K21" s="244">
        <f t="shared" si="3"/>
        <v>7.072691552062868E-2</v>
      </c>
      <c r="L21" s="1402">
        <f>IF(ISNUMBER(NºAsuntos!I21/NºAsuntos!G21),(NºAsuntos!I21/NºAsuntos!G21)*11," - ")</f>
        <v>5.4204339963833634</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3082</v>
      </c>
      <c r="D23" s="1407">
        <f>SUBTOTAL(9,D16:D22)</f>
        <v>3105</v>
      </c>
      <c r="E23" s="1408">
        <f>SUBTOTAL(9,E16:E22)</f>
        <v>10786</v>
      </c>
      <c r="F23" s="1408">
        <f>SUBTOTAL(9,F16:F22)</f>
        <v>10985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1200</v>
      </c>
      <c r="D28" s="239">
        <f>IF(ISNUMBER(Datos!I28),Datos!I28," - ")</f>
        <v>1190</v>
      </c>
      <c r="E28" s="240">
        <f>IF(ISNUMBER(Datos!J28),Datos!J28," - ")</f>
        <v>1092</v>
      </c>
      <c r="F28" s="240">
        <f>IF(ISNUMBER(Datos!K28),Datos!K28," - ")</f>
        <v>1083</v>
      </c>
      <c r="G28" s="1390" t="str">
        <f>IF(Datos!E28&lt;&gt;"",Datos!E28,Datos!D28)</f>
        <v>05</v>
      </c>
      <c r="H28" s="241">
        <f>IF(ISNUMBER(Datos!L28),Datos!L28," - ")</f>
        <v>1209</v>
      </c>
      <c r="I28" s="1400" t="str">
        <f>IF(ISNUMBER(Datos!AS28/Datos!BM28),Datos!AS28/Datos!BM28," - ")</f>
        <v xml:space="preserve"> - </v>
      </c>
      <c r="J28" s="1401" t="str">
        <f>IF(ISNUMBER(Datos!BY28/Datos!CN28),Datos!BY28/Datos!CN28," - ")</f>
        <v xml:space="preserve"> - </v>
      </c>
      <c r="K28" s="244">
        <f>IF(ISNUMBER((E28-F28)/C28),(E28-F28)/C28," - ")</f>
        <v>7.4999999999999997E-3</v>
      </c>
      <c r="L28" s="1402">
        <f>IF(ISNUMBER(NºAsuntos!I28/NºAsuntos!G28),(NºAsuntos!I28/NºAsuntos!G28)*11," - ")</f>
        <v>12.279778393351801</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1200</v>
      </c>
      <c r="D30" s="1407">
        <f>SUBTOTAL(9,D28:D29)</f>
        <v>1190</v>
      </c>
      <c r="E30" s="1408">
        <f>SUBTOTAL(9,E28:E29)</f>
        <v>1092</v>
      </c>
      <c r="F30" s="1408">
        <f>SUBTOTAL(9,F28:F29)</f>
        <v>1083</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4330</v>
      </c>
      <c r="D31" s="1435">
        <f>SUBTOTAL(9,D9:D30)</f>
        <v>4343</v>
      </c>
      <c r="E31" s="1436">
        <f>SUBTOTAL(9,E9:E30)</f>
        <v>11975</v>
      </c>
      <c r="F31" s="1436">
        <f>SUBTOTAL(9,F9:F30)</f>
        <v>12155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g+Vu5pItEbh1mivsTDRVFk8FwJurHddoFK9qTe68kaubn4hjvR3j1OTUevUoRDdqIYjQrcgckg+Y6csDvYo1AA==" saltValue="uniY0cEEWJI5by/rUn8x7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6+jasaePSxJtoLfsggHJBj057cJNfL4S8Q+A7IAohj9FNP9zokAfebvZPX07xZz3CycEDRxtugq0bivo6w+j8A==" saltValue="4oxRnnIDtOWXhYjO51yj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48</v>
      </c>
      <c r="J10" s="194">
        <v>97</v>
      </c>
      <c r="K10" s="194">
        <v>87</v>
      </c>
      <c r="L10" s="194">
        <v>58</v>
      </c>
      <c r="M10" s="194">
        <v>38</v>
      </c>
      <c r="N10" s="194">
        <v>59</v>
      </c>
      <c r="O10" s="194">
        <v>17</v>
      </c>
      <c r="P10" s="194">
        <v>37</v>
      </c>
      <c r="Q10" s="194">
        <v>40</v>
      </c>
      <c r="R10" s="194">
        <v>94</v>
      </c>
      <c r="S10" s="194">
        <v>61</v>
      </c>
      <c r="T10" s="194">
        <v>118</v>
      </c>
      <c r="U10" s="194">
        <v>131</v>
      </c>
      <c r="V10" s="194">
        <v>48</v>
      </c>
      <c r="W10" s="194">
        <v>52</v>
      </c>
      <c r="X10" s="201">
        <v>55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1050</v>
      </c>
      <c r="AT10" s="205"/>
      <c r="AU10" s="213"/>
      <c r="AV10" s="205"/>
      <c r="AW10" s="213"/>
      <c r="AX10" s="205"/>
      <c r="AY10" s="138">
        <f t="shared" ref="AY10:BC10" si="0">IF(ISNUMBER(S10),S10," - ")</f>
        <v>61</v>
      </c>
      <c r="AZ10" s="139">
        <f t="shared" si="0"/>
        <v>118</v>
      </c>
      <c r="BA10" s="139">
        <f t="shared" si="0"/>
        <v>131</v>
      </c>
      <c r="BB10" s="139">
        <f t="shared" si="0"/>
        <v>48</v>
      </c>
      <c r="BC10" s="135">
        <f t="shared" si="0"/>
        <v>52</v>
      </c>
      <c r="BD10" s="136">
        <f>IF(ISNUMBER(BA10/AZ10),BA10/AZ10," - ")</f>
        <v>1.1101694915254237</v>
      </c>
      <c r="BE10" s="137">
        <f>IF(ISNUMBER(BB10/BA10),BB10/BA10, " - ")</f>
        <v>0.36641221374045801</v>
      </c>
      <c r="BF10" s="137">
        <f>IF(ISNUMBER(BC10/BA10),BC10/BA10, " - ")</f>
        <v>0.39694656488549618</v>
      </c>
      <c r="BG10" s="209">
        <f>IF(ISNUMBER((AY10+AZ10)/BA10),(AY10+AZ10)/BA10," - ")</f>
        <v>1.366412213740458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4908</v>
      </c>
      <c r="J12" s="196">
        <v>8970</v>
      </c>
      <c r="K12" s="196">
        <v>7943</v>
      </c>
      <c r="L12" s="196">
        <v>5974</v>
      </c>
      <c r="M12" s="196">
        <v>1840</v>
      </c>
      <c r="N12" s="196">
        <v>3507</v>
      </c>
      <c r="O12" s="194">
        <v>3983</v>
      </c>
      <c r="P12" s="196">
        <v>2312</v>
      </c>
      <c r="Q12" s="196">
        <v>2583</v>
      </c>
      <c r="R12" s="196">
        <v>8233</v>
      </c>
      <c r="S12" s="196">
        <v>4685</v>
      </c>
      <c r="T12" s="196">
        <v>7642</v>
      </c>
      <c r="U12" s="196">
        <v>7577</v>
      </c>
      <c r="V12" s="196">
        <v>4908</v>
      </c>
      <c r="W12" s="196">
        <v>1751</v>
      </c>
      <c r="X12" s="202">
        <v>2944</v>
      </c>
      <c r="Y12" s="204">
        <v>83</v>
      </c>
      <c r="Z12" s="194">
        <v>566</v>
      </c>
      <c r="AA12" s="194">
        <v>541</v>
      </c>
      <c r="AB12" s="194">
        <v>96</v>
      </c>
      <c r="AC12" s="196">
        <v>0</v>
      </c>
      <c r="AD12" s="196">
        <v>0</v>
      </c>
      <c r="AE12" s="196">
        <v>0</v>
      </c>
      <c r="AF12" s="202">
        <v>0</v>
      </c>
      <c r="AG12" s="215">
        <v>63</v>
      </c>
      <c r="AH12" s="196">
        <v>584</v>
      </c>
      <c r="AI12" s="196">
        <v>586</v>
      </c>
      <c r="AJ12" s="216">
        <v>83</v>
      </c>
      <c r="AK12" s="195">
        <v>0</v>
      </c>
      <c r="AL12" s="196">
        <v>0</v>
      </c>
      <c r="AM12" s="196">
        <v>0</v>
      </c>
      <c r="AN12" s="202">
        <v>0</v>
      </c>
      <c r="AO12" s="283">
        <v>8</v>
      </c>
      <c r="AP12" s="168">
        <v>8</v>
      </c>
      <c r="AQ12" s="168">
        <v>8</v>
      </c>
      <c r="AR12" s="167">
        <v>8</v>
      </c>
      <c r="AS12" s="381" t="s">
        <v>1059</v>
      </c>
      <c r="AT12" s="216"/>
      <c r="AU12" s="215"/>
      <c r="AV12" s="216"/>
      <c r="AW12" s="215"/>
      <c r="AX12" s="216"/>
      <c r="AY12" s="136">
        <f t="shared" si="1"/>
        <v>4748</v>
      </c>
      <c r="AZ12" s="137">
        <f t="shared" si="1"/>
        <v>8226</v>
      </c>
      <c r="BA12" s="137">
        <f t="shared" si="1"/>
        <v>8163</v>
      </c>
      <c r="BB12" s="137">
        <f t="shared" si="1"/>
        <v>4991</v>
      </c>
      <c r="BC12" s="135">
        <f>IF(ISNUMBER(X12),X12," - ")</f>
        <v>2944</v>
      </c>
      <c r="BD12" s="136">
        <f t="shared" si="2"/>
        <v>0.99234135667396062</v>
      </c>
      <c r="BE12" s="137">
        <f t="shared" si="3"/>
        <v>0.61141737106455962</v>
      </c>
      <c r="BF12" s="137">
        <f t="shared" si="4"/>
        <v>0.36065172118093836</v>
      </c>
      <c r="BG12" s="209">
        <f t="shared" si="5"/>
        <v>1.5893666544162686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4956</v>
      </c>
      <c r="J14" s="197">
        <f t="shared" si="7"/>
        <v>9067</v>
      </c>
      <c r="K14" s="197">
        <f t="shared" si="7"/>
        <v>8030</v>
      </c>
      <c r="L14" s="197">
        <f t="shared" si="7"/>
        <v>6032</v>
      </c>
      <c r="M14" s="197">
        <f t="shared" si="7"/>
        <v>1878</v>
      </c>
      <c r="N14" s="197">
        <f t="shared" si="7"/>
        <v>3566</v>
      </c>
      <c r="O14" s="197">
        <f t="shared" si="7"/>
        <v>4000</v>
      </c>
      <c r="P14" s="197">
        <f t="shared" si="7"/>
        <v>2349</v>
      </c>
      <c r="Q14" s="197">
        <f t="shared" si="7"/>
        <v>2623</v>
      </c>
      <c r="R14" s="197">
        <f t="shared" si="7"/>
        <v>8327</v>
      </c>
      <c r="S14" s="197">
        <f t="shared" si="7"/>
        <v>4746</v>
      </c>
      <c r="T14" s="197">
        <f t="shared" si="7"/>
        <v>7760</v>
      </c>
      <c r="U14" s="197">
        <f t="shared" si="7"/>
        <v>7708</v>
      </c>
      <c r="V14" s="197">
        <f t="shared" si="7"/>
        <v>4956</v>
      </c>
      <c r="W14" s="197">
        <f t="shared" si="7"/>
        <v>1803</v>
      </c>
      <c r="X14" s="197">
        <f t="shared" si="7"/>
        <v>2999</v>
      </c>
      <c r="Y14" s="197">
        <f t="shared" si="7"/>
        <v>83</v>
      </c>
      <c r="Z14" s="197">
        <f t="shared" si="7"/>
        <v>566</v>
      </c>
      <c r="AA14" s="197">
        <f t="shared" si="7"/>
        <v>541</v>
      </c>
      <c r="AB14" s="197">
        <f t="shared" si="7"/>
        <v>96</v>
      </c>
      <c r="AC14" s="197">
        <f t="shared" si="7"/>
        <v>0</v>
      </c>
      <c r="AD14" s="197">
        <f t="shared" si="7"/>
        <v>0</v>
      </c>
      <c r="AE14" s="197">
        <f t="shared" si="7"/>
        <v>0</v>
      </c>
      <c r="AF14" s="197">
        <f>SUBTOTAL(9,AF9:AF13)</f>
        <v>0</v>
      </c>
      <c r="AG14" s="197">
        <f t="shared" ref="AG14:AT14" si="8">SUBTOTAL(9,AG8:AG13)</f>
        <v>63</v>
      </c>
      <c r="AH14" s="197">
        <f t="shared" si="8"/>
        <v>584</v>
      </c>
      <c r="AI14" s="197">
        <f t="shared" si="8"/>
        <v>586</v>
      </c>
      <c r="AJ14" s="197">
        <f t="shared" si="8"/>
        <v>83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4809</v>
      </c>
      <c r="AZ14" s="197">
        <f>SUBTOTAL(9,AZ8:AZ13)</f>
        <v>8344</v>
      </c>
      <c r="BA14" s="197">
        <f>SUBTOTAL(9,BA8:BA13)</f>
        <v>8294</v>
      </c>
      <c r="BB14" s="197">
        <f>SUBTOTAL(9,BB8:BB13)</f>
        <v>5039</v>
      </c>
      <c r="BC14" s="197">
        <f>SUBTOTAL(9,BC8:BC13)</f>
        <v>2996</v>
      </c>
      <c r="BD14" s="219">
        <f>IF(ISNUMBER(BA14/AZ14),BA14/AZ14," - ")</f>
        <v>0.99400767018216685</v>
      </c>
      <c r="BE14" s="220">
        <f>IF(ISNUMBER(BB14/BA14),BB14/BA14, " - ")</f>
        <v>0.60754762478900415</v>
      </c>
      <c r="BF14" s="220">
        <f>IF(ISNUMBER(BC14/BA14),BC14/BA14, " - ")</f>
        <v>0.36122498191463709</v>
      </c>
      <c r="BG14" s="221">
        <f>IF(ISNUMBER((AY14+AZ14)/BA14),(AY14+AZ14)/BA14," - ")</f>
        <v>1.5858451892934651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2448</v>
      </c>
      <c r="J17" s="196">
        <v>8905</v>
      </c>
      <c r="K17" s="196">
        <v>9108</v>
      </c>
      <c r="L17" s="196">
        <v>2193</v>
      </c>
      <c r="M17" s="196">
        <v>1143</v>
      </c>
      <c r="N17" s="196">
        <v>6307</v>
      </c>
      <c r="O17" s="194">
        <v>82</v>
      </c>
      <c r="P17" s="196">
        <v>193</v>
      </c>
      <c r="Q17" s="196">
        <v>126</v>
      </c>
      <c r="R17" s="196">
        <v>322</v>
      </c>
      <c r="S17" s="196">
        <v>2407</v>
      </c>
      <c r="T17" s="196">
        <v>8564</v>
      </c>
      <c r="U17" s="196">
        <v>8606</v>
      </c>
      <c r="V17" s="196">
        <v>2448</v>
      </c>
      <c r="W17" s="196">
        <v>1096</v>
      </c>
      <c r="X17" s="202">
        <v>5504</v>
      </c>
      <c r="Y17" s="215">
        <v>0</v>
      </c>
      <c r="Z17" s="196">
        <v>0</v>
      </c>
      <c r="AA17" s="196">
        <v>0</v>
      </c>
      <c r="AB17" s="196">
        <v>0</v>
      </c>
      <c r="AC17" s="196">
        <v>5</v>
      </c>
      <c r="AD17" s="196">
        <v>470</v>
      </c>
      <c r="AE17" s="196">
        <v>473</v>
      </c>
      <c r="AF17" s="202">
        <v>2</v>
      </c>
      <c r="AG17" s="215">
        <v>0</v>
      </c>
      <c r="AH17" s="196">
        <v>0</v>
      </c>
      <c r="AI17" s="196">
        <v>0</v>
      </c>
      <c r="AJ17" s="216">
        <v>0</v>
      </c>
      <c r="AK17" s="195">
        <v>0</v>
      </c>
      <c r="AL17" s="196">
        <v>665</v>
      </c>
      <c r="AM17" s="196">
        <v>660</v>
      </c>
      <c r="AN17" s="202">
        <v>5</v>
      </c>
      <c r="AO17" s="283">
        <v>8</v>
      </c>
      <c r="AP17" s="168">
        <v>8</v>
      </c>
      <c r="AQ17" s="168">
        <v>8</v>
      </c>
      <c r="AR17" s="168">
        <v>8</v>
      </c>
      <c r="AS17" s="381" t="s">
        <v>643</v>
      </c>
      <c r="AT17" s="216"/>
      <c r="AU17" s="215"/>
      <c r="AV17" s="216"/>
      <c r="AW17" s="215"/>
      <c r="AX17" s="216"/>
      <c r="AY17" s="136">
        <f t="shared" si="10"/>
        <v>2407</v>
      </c>
      <c r="AZ17" s="137">
        <f t="shared" si="10"/>
        <v>8564</v>
      </c>
      <c r="BA17" s="137">
        <f t="shared" si="10"/>
        <v>8606</v>
      </c>
      <c r="BB17" s="137">
        <f t="shared" si="10"/>
        <v>2448</v>
      </c>
      <c r="BC17" s="135">
        <f>IF(ISNUMBER(W17),W17," - ")</f>
        <v>1096</v>
      </c>
      <c r="BD17" s="136">
        <f t="shared" ref="BD17:BD22" si="12">IF(ISNUMBER(BA17/AZ17),BA17/AZ17," - ")</f>
        <v>1.0049042503503036</v>
      </c>
      <c r="BE17" s="137">
        <f t="shared" ref="BE17:BE22" si="13">IF(ISNUMBER(BB17/BA17),BB17/BA17, " - ")</f>
        <v>0.28445270741343248</v>
      </c>
      <c r="BF17" s="137">
        <f t="shared" ref="BF17:BF22" si="14">IF(ISNUMBER(BC17/BA17),BC17/BA17, " - ")</f>
        <v>0.12735300952823611</v>
      </c>
      <c r="BG17" s="209">
        <f t="shared" si="11"/>
        <v>1.2748082732976993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177</v>
      </c>
      <c r="J18" s="196">
        <v>739</v>
      </c>
      <c r="K18" s="196">
        <v>771</v>
      </c>
      <c r="L18" s="196">
        <v>145</v>
      </c>
      <c r="M18" s="196">
        <v>64</v>
      </c>
      <c r="N18" s="196">
        <v>477</v>
      </c>
      <c r="O18" s="196">
        <v>8</v>
      </c>
      <c r="P18" s="196">
        <v>7</v>
      </c>
      <c r="Q18" s="196">
        <v>10</v>
      </c>
      <c r="R18" s="196">
        <v>2</v>
      </c>
      <c r="S18" s="196">
        <v>190</v>
      </c>
      <c r="T18" s="196">
        <v>773</v>
      </c>
      <c r="U18" s="196">
        <v>786</v>
      </c>
      <c r="V18" s="196">
        <v>177</v>
      </c>
      <c r="W18" s="196">
        <v>67</v>
      </c>
      <c r="X18" s="202">
        <v>463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1049</v>
      </c>
      <c r="AT18" s="223"/>
      <c r="AU18" s="213"/>
      <c r="AV18" s="223"/>
      <c r="AW18" s="213"/>
      <c r="AX18" s="223"/>
      <c r="AY18" s="138">
        <f t="shared" ref="AY18:BB19" si="15">IF(ISNUMBER(S18),S18," - ")</f>
        <v>190</v>
      </c>
      <c r="AZ18" s="139">
        <f t="shared" si="15"/>
        <v>773</v>
      </c>
      <c r="BA18" s="139">
        <f t="shared" si="15"/>
        <v>786</v>
      </c>
      <c r="BB18" s="139">
        <f t="shared" si="15"/>
        <v>177</v>
      </c>
      <c r="BC18" s="135">
        <f>IF(ISNUMBER(W18),W18," - ")</f>
        <v>67</v>
      </c>
      <c r="BD18" s="136">
        <f>IF(ISNUMBER(BA18/AZ18),BA18/AZ18," - ")</f>
        <v>1.0168175937904269</v>
      </c>
      <c r="BE18" s="137">
        <f>IF(ISNUMBER(BB18/BA18),BB18/BA18, " - ")</f>
        <v>0.22519083969465647</v>
      </c>
      <c r="BF18" s="137">
        <f>IF(ISNUMBER(BC18/BA18),BC18/BA18, " - ")</f>
        <v>8.5241730279898217E-2</v>
      </c>
      <c r="BG18" s="209">
        <f>IF(ISNUMBER((AY18+AZ18)/BA18),(AY18+AZ18)/BA18," - ")</f>
        <v>1.2251908396946565</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480</v>
      </c>
      <c r="J21" s="196">
        <v>1142</v>
      </c>
      <c r="K21" s="196">
        <v>1106</v>
      </c>
      <c r="L21" s="196">
        <v>545</v>
      </c>
      <c r="M21" s="196">
        <v>1002</v>
      </c>
      <c r="N21" s="196">
        <v>600</v>
      </c>
      <c r="O21" s="196">
        <v>722</v>
      </c>
      <c r="P21" s="196">
        <v>1836</v>
      </c>
      <c r="Q21" s="196">
        <v>1972</v>
      </c>
      <c r="R21" s="196">
        <v>3468</v>
      </c>
      <c r="S21" s="196">
        <v>391</v>
      </c>
      <c r="T21" s="196">
        <v>1114</v>
      </c>
      <c r="U21" s="196">
        <v>1040</v>
      </c>
      <c r="V21" s="196">
        <v>480</v>
      </c>
      <c r="W21" s="196">
        <v>967</v>
      </c>
      <c r="X21" s="202">
        <v>671</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201</v>
      </c>
      <c r="AT21" s="345"/>
      <c r="AU21" s="215"/>
      <c r="AV21" s="216"/>
      <c r="AW21" s="215"/>
      <c r="AX21" s="216"/>
      <c r="AY21" s="138">
        <f t="shared" si="16"/>
        <v>391</v>
      </c>
      <c r="AZ21" s="139">
        <f t="shared" si="17"/>
        <v>1114</v>
      </c>
      <c r="BA21" s="139">
        <f t="shared" si="18"/>
        <v>1040</v>
      </c>
      <c r="BB21" s="139">
        <f t="shared" si="19"/>
        <v>480</v>
      </c>
      <c r="BC21" s="135">
        <f t="shared" si="20"/>
        <v>967</v>
      </c>
      <c r="BD21" s="136">
        <f t="shared" si="12"/>
        <v>0.93357271095152605</v>
      </c>
      <c r="BE21" s="137">
        <f t="shared" si="13"/>
        <v>0.46153846153846156</v>
      </c>
      <c r="BF21" s="137">
        <f t="shared" si="14"/>
        <v>0.92980769230769234</v>
      </c>
      <c r="BG21" s="209">
        <f t="shared" si="11"/>
        <v>1.4471153846153846</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3105</v>
      </c>
      <c r="J23" s="197">
        <f t="shared" si="21"/>
        <v>10786</v>
      </c>
      <c r="K23" s="197">
        <f t="shared" si="21"/>
        <v>10985</v>
      </c>
      <c r="L23" s="197">
        <f t="shared" si="21"/>
        <v>2883</v>
      </c>
      <c r="M23" s="197">
        <f t="shared" si="21"/>
        <v>2209</v>
      </c>
      <c r="N23" s="197">
        <f t="shared" si="21"/>
        <v>7384</v>
      </c>
      <c r="O23" s="197">
        <f t="shared" si="21"/>
        <v>812</v>
      </c>
      <c r="P23" s="197">
        <f t="shared" si="21"/>
        <v>2036</v>
      </c>
      <c r="Q23" s="197">
        <f t="shared" si="21"/>
        <v>2108</v>
      </c>
      <c r="R23" s="197">
        <f t="shared" si="21"/>
        <v>3792</v>
      </c>
      <c r="S23" s="197">
        <f t="shared" si="21"/>
        <v>2988</v>
      </c>
      <c r="T23" s="197">
        <f t="shared" si="21"/>
        <v>10451</v>
      </c>
      <c r="U23" s="197">
        <f t="shared" si="21"/>
        <v>10432</v>
      </c>
      <c r="V23" s="197">
        <f t="shared" si="21"/>
        <v>3105</v>
      </c>
      <c r="W23" s="197">
        <f t="shared" si="21"/>
        <v>2130</v>
      </c>
      <c r="X23" s="197">
        <f t="shared" si="21"/>
        <v>6638</v>
      </c>
      <c r="Y23" s="197">
        <f t="shared" si="21"/>
        <v>0</v>
      </c>
      <c r="Z23" s="197">
        <f t="shared" si="21"/>
        <v>0</v>
      </c>
      <c r="AA23" s="197">
        <f t="shared" si="21"/>
        <v>0</v>
      </c>
      <c r="AB23" s="197">
        <f t="shared" si="21"/>
        <v>0</v>
      </c>
      <c r="AC23" s="197">
        <f t="shared" si="21"/>
        <v>5</v>
      </c>
      <c r="AD23" s="197">
        <f t="shared" si="21"/>
        <v>470</v>
      </c>
      <c r="AE23" s="197">
        <f t="shared" si="21"/>
        <v>473</v>
      </c>
      <c r="AF23" s="197">
        <f t="shared" si="21"/>
        <v>2</v>
      </c>
      <c r="AG23" s="197">
        <f t="shared" si="21"/>
        <v>0</v>
      </c>
      <c r="AH23" s="197">
        <f t="shared" si="21"/>
        <v>0</v>
      </c>
      <c r="AI23" s="197">
        <f t="shared" si="21"/>
        <v>0</v>
      </c>
      <c r="AJ23" s="197">
        <f t="shared" si="21"/>
        <v>0</v>
      </c>
      <c r="AK23" s="197">
        <f t="shared" si="21"/>
        <v>0</v>
      </c>
      <c r="AL23" s="197">
        <f t="shared" si="21"/>
        <v>665</v>
      </c>
      <c r="AM23" s="197">
        <f t="shared" si="21"/>
        <v>660</v>
      </c>
      <c r="AN23" s="197">
        <f t="shared" si="21"/>
        <v>5</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2988</v>
      </c>
      <c r="AZ23" s="197">
        <f>SUBTOTAL(9,AZ15:AZ22)</f>
        <v>10451</v>
      </c>
      <c r="BA23" s="197">
        <f>SUBTOTAL(9,BA15:BA22)</f>
        <v>10432</v>
      </c>
      <c r="BB23" s="197">
        <f>SUBTOTAL(9,BB15:BB22)</f>
        <v>3105</v>
      </c>
      <c r="BC23" s="197">
        <f>SUBTOTAL(9,BC15:BC22)</f>
        <v>2130</v>
      </c>
      <c r="BD23" s="219">
        <f>IF(ISNUMBER(BA23/AZ23),BA23/AZ23," - ")</f>
        <v>0.99818199215386083</v>
      </c>
      <c r="BE23" s="220">
        <f>IF(ISNUMBER(BB23/BA23),BB23/BA23, " - ")</f>
        <v>0.29764187116564417</v>
      </c>
      <c r="BF23" s="220">
        <f>IF(ISNUMBER(BC23/BA23),BC23/BA23, " - ")</f>
        <v>0.20417944785276074</v>
      </c>
      <c r="BG23" s="221">
        <f>IF(ISNUMBER((AY23+AZ23)/BA23),(AY23+AZ23)/BA23," - ")</f>
        <v>1.2882476993865031</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1190</v>
      </c>
      <c r="J28" s="196">
        <v>1092</v>
      </c>
      <c r="K28" s="196">
        <v>1083</v>
      </c>
      <c r="L28" s="196">
        <v>1209</v>
      </c>
      <c r="M28" s="196">
        <v>361</v>
      </c>
      <c r="N28" s="196">
        <v>67</v>
      </c>
      <c r="O28" s="196">
        <v>606</v>
      </c>
      <c r="P28" s="196">
        <v>38</v>
      </c>
      <c r="Q28" s="196">
        <v>64</v>
      </c>
      <c r="R28" s="196">
        <v>8</v>
      </c>
      <c r="S28" s="196">
        <v>1283</v>
      </c>
      <c r="T28" s="196">
        <v>1028</v>
      </c>
      <c r="U28" s="196">
        <v>1147</v>
      </c>
      <c r="V28" s="196">
        <v>1190</v>
      </c>
      <c r="W28" s="196">
        <v>426</v>
      </c>
      <c r="X28" s="202">
        <v>58</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1283</v>
      </c>
      <c r="AZ28" s="139">
        <f t="shared" si="30"/>
        <v>1028</v>
      </c>
      <c r="BA28" s="139">
        <f t="shared" si="30"/>
        <v>1147</v>
      </c>
      <c r="BB28" s="139">
        <f t="shared" si="30"/>
        <v>1190</v>
      </c>
      <c r="BC28" s="135">
        <f t="shared" si="30"/>
        <v>426</v>
      </c>
      <c r="BD28" s="136">
        <f t="shared" ref="BD28:BD30" si="31">IF(ISNUMBER(BA28/AZ28),BA28/AZ28," - ")</f>
        <v>1.1157587548638133</v>
      </c>
      <c r="BE28" s="137">
        <f t="shared" ref="BE28:BE30" si="32">IF(ISNUMBER(BB28/BA28),BB28/BA28, " - ")</f>
        <v>1.037489102005231</v>
      </c>
      <c r="BF28" s="137">
        <f t="shared" ref="BF28:BF30" si="33">IF(ISNUMBER(BC28/BA28),BC28/BA28, " - ")</f>
        <v>0.3714036617262424</v>
      </c>
      <c r="BG28" s="209">
        <f t="shared" ref="BG28:BG30" si="34">IF(ISNUMBER((AY28+AZ28)/BA28),(AY28+AZ28)/BA28," - ")</f>
        <v>2.014821272885789</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1190</v>
      </c>
      <c r="J30" s="197">
        <f t="shared" si="35"/>
        <v>1092</v>
      </c>
      <c r="K30" s="197">
        <f t="shared" si="35"/>
        <v>1083</v>
      </c>
      <c r="L30" s="197">
        <f t="shared" si="35"/>
        <v>1209</v>
      </c>
      <c r="M30" s="197">
        <f t="shared" si="35"/>
        <v>361</v>
      </c>
      <c r="N30" s="197">
        <f t="shared" si="35"/>
        <v>67</v>
      </c>
      <c r="O30" s="197">
        <f t="shared" si="35"/>
        <v>606</v>
      </c>
      <c r="P30" s="197">
        <f t="shared" si="35"/>
        <v>38</v>
      </c>
      <c r="Q30" s="197">
        <f t="shared" si="35"/>
        <v>64</v>
      </c>
      <c r="R30" s="197">
        <f t="shared" si="35"/>
        <v>8</v>
      </c>
      <c r="S30" s="197">
        <f t="shared" si="35"/>
        <v>1283</v>
      </c>
      <c r="T30" s="197">
        <f t="shared" si="35"/>
        <v>1028</v>
      </c>
      <c r="U30" s="197">
        <f t="shared" si="35"/>
        <v>1147</v>
      </c>
      <c r="V30" s="197">
        <f t="shared" si="35"/>
        <v>1190</v>
      </c>
      <c r="W30" s="197">
        <f t="shared" si="35"/>
        <v>426</v>
      </c>
      <c r="X30" s="141">
        <f t="shared" si="35"/>
        <v>58</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1283</v>
      </c>
      <c r="AZ30" s="141">
        <f>SUBTOTAL(9,AZ28:AZ29)</f>
        <v>1028</v>
      </c>
      <c r="BA30" s="141">
        <f>SUBTOTAL(9,BA28:BA29)</f>
        <v>1147</v>
      </c>
      <c r="BB30" s="141">
        <f>SUBTOTAL(9,BB28:BB29)</f>
        <v>1190</v>
      </c>
      <c r="BC30" s="142">
        <f>SUBTOTAL(9,BC28:BC29)</f>
        <v>426</v>
      </c>
      <c r="BD30" s="140">
        <f t="shared" si="31"/>
        <v>1.1157587548638133</v>
      </c>
      <c r="BE30" s="141">
        <f t="shared" si="32"/>
        <v>1.037489102005231</v>
      </c>
      <c r="BF30" s="141">
        <f t="shared" si="33"/>
        <v>0.3714036617262424</v>
      </c>
      <c r="BG30" s="142">
        <f t="shared" si="34"/>
        <v>2.014821272885789</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9251</v>
      </c>
      <c r="J31" s="144">
        <f t="shared" si="36"/>
        <v>20945</v>
      </c>
      <c r="K31" s="144">
        <f t="shared" si="36"/>
        <v>20098</v>
      </c>
      <c r="L31" s="144">
        <f t="shared" si="36"/>
        <v>10124</v>
      </c>
      <c r="M31" s="144">
        <f t="shared" si="36"/>
        <v>4448</v>
      </c>
      <c r="N31" s="144">
        <f t="shared" si="36"/>
        <v>11017</v>
      </c>
      <c r="O31" s="144">
        <f t="shared" si="36"/>
        <v>5418</v>
      </c>
      <c r="P31" s="144">
        <f t="shared" si="36"/>
        <v>4423</v>
      </c>
      <c r="Q31" s="144">
        <f t="shared" si="36"/>
        <v>4795</v>
      </c>
      <c r="R31" s="144">
        <f t="shared" si="36"/>
        <v>12127</v>
      </c>
      <c r="S31" s="144">
        <f t="shared" si="36"/>
        <v>9017</v>
      </c>
      <c r="T31" s="144">
        <f t="shared" si="36"/>
        <v>19239</v>
      </c>
      <c r="U31" s="144">
        <f t="shared" si="36"/>
        <v>19287</v>
      </c>
      <c r="V31" s="144">
        <f t="shared" si="36"/>
        <v>9251</v>
      </c>
      <c r="W31" s="144">
        <f t="shared" si="36"/>
        <v>4359</v>
      </c>
      <c r="X31" s="144">
        <f t="shared" si="36"/>
        <v>9695</v>
      </c>
      <c r="Y31" s="144">
        <f t="shared" si="36"/>
        <v>83</v>
      </c>
      <c r="Z31" s="144">
        <f t="shared" si="36"/>
        <v>566</v>
      </c>
      <c r="AA31" s="144">
        <f t="shared" si="36"/>
        <v>541</v>
      </c>
      <c r="AB31" s="144">
        <f t="shared" si="36"/>
        <v>96</v>
      </c>
      <c r="AC31" s="144">
        <f t="shared" si="36"/>
        <v>5</v>
      </c>
      <c r="AD31" s="144">
        <f t="shared" si="36"/>
        <v>470</v>
      </c>
      <c r="AE31" s="144">
        <f t="shared" si="36"/>
        <v>473</v>
      </c>
      <c r="AF31" s="144">
        <f t="shared" si="36"/>
        <v>2</v>
      </c>
      <c r="AG31" s="144">
        <f t="shared" si="36"/>
        <v>63</v>
      </c>
      <c r="AH31" s="144">
        <f t="shared" si="36"/>
        <v>584</v>
      </c>
      <c r="AI31" s="144">
        <f t="shared" si="36"/>
        <v>586</v>
      </c>
      <c r="AJ31" s="144">
        <f t="shared" si="36"/>
        <v>83</v>
      </c>
      <c r="AK31" s="144">
        <f t="shared" si="36"/>
        <v>0</v>
      </c>
      <c r="AL31" s="144">
        <f t="shared" si="36"/>
        <v>665</v>
      </c>
      <c r="AM31" s="144">
        <f t="shared" si="36"/>
        <v>660</v>
      </c>
      <c r="AN31" s="224">
        <f t="shared" si="36"/>
        <v>5</v>
      </c>
      <c r="AO31" s="225">
        <v>13</v>
      </c>
      <c r="AP31" s="225">
        <v>13</v>
      </c>
      <c r="AQ31" s="225">
        <v>13</v>
      </c>
      <c r="AR31" s="225">
        <v>13</v>
      </c>
      <c r="AS31" s="166">
        <f t="shared" si="36"/>
        <v>0</v>
      </c>
      <c r="AT31" s="166">
        <f t="shared" si="36"/>
        <v>0</v>
      </c>
      <c r="AU31" s="225"/>
      <c r="AV31" s="226"/>
      <c r="AW31" s="225"/>
      <c r="AX31" s="226"/>
      <c r="AY31" s="143">
        <f>SUBTOTAL(9,AY9:AY30)</f>
        <v>9080</v>
      </c>
      <c r="AZ31" s="144">
        <f>SUBTOTAL(9,AZ9:AZ30)</f>
        <v>19823</v>
      </c>
      <c r="BA31" s="144">
        <f>SUBTOTAL(9,BA9:BA30)</f>
        <v>19873</v>
      </c>
      <c r="BB31" s="144">
        <f>SUBTOTAL(9,BB9:BB30)</f>
        <v>9334</v>
      </c>
      <c r="BC31" s="145">
        <f>SUBTOTAL(9,BC9:BC30)</f>
        <v>5552</v>
      </c>
      <c r="BD31" s="227">
        <f>IF(ISNUMBER(BA31/AZ31),BA31/AZ31," - ")</f>
        <v>1.0025223225546083</v>
      </c>
      <c r="BE31" s="224">
        <f>IF(ISNUMBER(BB31/BA31),BB31/BA31, " - ")</f>
        <v>0.46968248377195188</v>
      </c>
      <c r="BF31" s="224">
        <f>IF(ISNUMBER(BC31/BA31),BC31/BA31, " - ")</f>
        <v>0.27937402505912545</v>
      </c>
      <c r="BG31" s="145">
        <f>IF(ISNUMBER((AY31+AZ31)/BA31),(AY31+AZ31)/BA31," - ")</f>
        <v>1.4543853469531525</v>
      </c>
      <c r="BH31" s="225">
        <f>SUBTOTAL(9,BH9:BH30)</f>
        <v>22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a9OsoTcjagC69NnuBvTa7YqAHT1868WmIFnh0EUXRhU5pKzuTafoBr2reET20frgAiGQnlxJ9DOq+p/iPXiGOw==" saltValue="yJIB4NO0/t7mvG9ZqVDk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dsiIa29+GqKbpyR7bsreVdScYf2o9QCuKeiUFLLLqUzM02f4OUdntUu8pGVRk0j4BoOpshRHy+fu4QVyEaAB9w==" saltValue="fJbJyjxc9E8igv3lWDsN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MANRESA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48</v>
      </c>
      <c r="G10" s="543">
        <f>IF(ISNUMBER(Datos!I10),Datos!I10," - ")</f>
        <v>48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87</v>
      </c>
      <c r="AC10" s="547">
        <f>IF(ISNUMBER(Datos!Q10),Datos!Q10," - ")</f>
        <v>40</v>
      </c>
      <c r="AD10" s="549"/>
      <c r="AE10" s="563"/>
      <c r="AF10" s="551">
        <f>IF(ISNUMBER(Datos!L10),Datos!L10,"-")</f>
        <v>58</v>
      </c>
      <c r="AG10" s="549"/>
      <c r="AH10" s="549"/>
      <c r="AI10" s="549"/>
      <c r="AJ10" s="549"/>
      <c r="AK10" s="549"/>
      <c r="AL10" s="550"/>
      <c r="AM10" s="766">
        <f>IF(ISNUMBER(Datos!R10),Datos!R10," - ")</f>
        <v>94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38</v>
      </c>
      <c r="BD10" s="693">
        <f>IF(ISNUMBER(Datos!N10),Datos!N10," - ")</f>
        <v>59</v>
      </c>
      <c r="BE10" s="693" t="str">
        <f>IF(ISNUMBER(Datos!BW10),Datos!BW10," - ")</f>
        <v xml:space="preserve"> - </v>
      </c>
      <c r="BF10" s="762" t="str">
        <f>IF(ISNUMBER(Datos!BX10),Datos!BX10," - ")</f>
        <v xml:space="preserve"> - </v>
      </c>
      <c r="BG10" s="763">
        <f>IF(ISNUMBER(Datos!K10/Datos!J10),Datos!K10/Datos!J10," - ")</f>
        <v>0.89690721649484539</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-3.0927835051546393E-2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315</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566</v>
      </c>
      <c r="O12" s="549"/>
      <c r="P12" s="549"/>
      <c r="Q12" s="547">
        <f>IF(ISNUMBER(Datos!P12),Datos!P12,0)</f>
        <v>2312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8233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1840</v>
      </c>
      <c r="BD12" s="693">
        <f>IF(ISNUMBER(Datos!N12),Datos!N12," - ")</f>
        <v>3507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0.88968120805369133</v>
      </c>
      <c r="BH12" s="764">
        <f>IF(ISNUMBER(((IF(J_V="SI",Datos!L12/Datos!K12,(Datos!L12+Datos!AB12)/(Datos!K12+Datos!AA12)))*11)/factor_trimestre),((IF(J_V="SI",Datos!L12/Datos!K12,(Datos!L12+Datos!AB12)/(Datos!K12+Datos!AA12)))*11)/factor_trimestre," - ")</f>
        <v>7.8701084394153709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-3.1867356538099717E-2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48</v>
      </c>
      <c r="G14" s="1197">
        <f t="shared" si="1"/>
        <v>48</v>
      </c>
      <c r="H14" s="1198">
        <f t="shared" si="1"/>
        <v>0</v>
      </c>
      <c r="I14" s="1197">
        <f t="shared" si="1"/>
        <v>0</v>
      </c>
      <c r="J14" s="1164">
        <f t="shared" si="1"/>
        <v>0</v>
      </c>
      <c r="K14" s="1164">
        <f t="shared" si="1"/>
        <v>0</v>
      </c>
      <c r="L14" s="1198">
        <f t="shared" si="1"/>
        <v>0</v>
      </c>
      <c r="M14" s="1198">
        <f t="shared" si="1"/>
        <v>0</v>
      </c>
      <c r="N14" s="1198">
        <f t="shared" si="1"/>
        <v>566</v>
      </c>
      <c r="O14" s="1199">
        <f t="shared" si="1"/>
        <v>0</v>
      </c>
      <c r="P14" s="1199">
        <f t="shared" si="1"/>
        <v>0</v>
      </c>
      <c r="Q14" s="1198">
        <f t="shared" si="1"/>
        <v>2349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87</v>
      </c>
      <c r="AC14" s="1198">
        <f t="shared" si="2"/>
        <v>2623</v>
      </c>
      <c r="AD14" s="1198">
        <f t="shared" si="2"/>
        <v>0</v>
      </c>
      <c r="AE14" s="1198">
        <f t="shared" si="2"/>
        <v>0</v>
      </c>
      <c r="AF14" s="1198">
        <f t="shared" si="2"/>
        <v>58</v>
      </c>
      <c r="AG14" s="1198">
        <f t="shared" si="2"/>
        <v>0</v>
      </c>
      <c r="AH14" s="1198">
        <f t="shared" si="2"/>
        <v>96</v>
      </c>
      <c r="AI14" s="1198">
        <f t="shared" si="2"/>
        <v>0</v>
      </c>
      <c r="AJ14" s="1198">
        <f t="shared" si="2"/>
        <v>0</v>
      </c>
      <c r="AK14" s="1198">
        <f t="shared" si="2"/>
        <v>0</v>
      </c>
      <c r="AL14" s="1198">
        <f t="shared" si="2"/>
        <v>0</v>
      </c>
      <c r="AM14" s="1198">
        <f t="shared" si="2"/>
        <v>8327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1878</v>
      </c>
      <c r="BD14" s="1198">
        <f t="shared" si="2"/>
        <v>3566</v>
      </c>
      <c r="BE14" s="1198">
        <f t="shared" si="2"/>
        <v>0</v>
      </c>
      <c r="BF14" s="1198">
        <f t="shared" si="2"/>
        <v>0</v>
      </c>
      <c r="BG14" s="1198">
        <f>IF(ISNUMBER(Datos!K14/Datos!J14),Datos!K14/Datos!J14," - ")</f>
        <v>0.88562920480864671</v>
      </c>
      <c r="BH14" s="1202">
        <f>IF(ISNUMBER(((Datos!L14/Datos!K14)*11)/factor_trimestre),((Datos!L14/Datos!K14)*11)/factor_trimestre," - ")</f>
        <v>8.2630136986301359</v>
      </c>
      <c r="BI14" s="1198">
        <f>IF(ISNUMBER('Resol  Asuntos'!D14/NºAsuntos!G14),'Resol  Asuntos'!D14/NºAsuntos!G14," - ")</f>
        <v>0.21911095554777738</v>
      </c>
      <c r="BJ14" s="1198" t="str">
        <f>IF(ISNUMBER(Datos!CI14/Datos!CJ14),Datos!CI14/Datos!CJ14," - ")</f>
        <v xml:space="preserve"> - </v>
      </c>
      <c r="BK14" s="1198">
        <f>SUBTOTAL(9,BK8:BK13)</f>
        <v>0</v>
      </c>
      <c r="BL14" s="1198">
        <f>IF(ISNUMBER((I14-AB14+L14)/(F14)),(I14-AB14+L14)/(F14)," - ")</f>
        <v>-1.8125</v>
      </c>
      <c r="BM14" s="1203">
        <f>SUBTOTAL(9,BM9:BM13)</f>
        <v>-6.279519158964611E-2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504</v>
      </c>
      <c r="C17" s="749" t="str">
        <f>Datos!A17</f>
        <v xml:space="preserve">Jdos. 1ª Instª. e Instr.                        </v>
      </c>
      <c r="D17" s="750"/>
      <c r="E17" s="1555">
        <f>IF(ISNUMBER(Datos!AQ17),Datos!AQ17," - ")</f>
        <v>8</v>
      </c>
      <c r="F17" s="740">
        <f>IF(ISNUMBER(AF17+AB17-Datos!J17-L17),AF17+AB17-Datos!J17-L17," - ")</f>
        <v>2396</v>
      </c>
      <c r="G17" s="743">
        <f>IF(ISNUMBER(IF(D_I="SI",Datos!I17,Datos!I17+Datos!AC17)),IF(D_I="SI",Datos!I17,Datos!I17+Datos!AC17)," - ")</f>
        <v>2448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9108</v>
      </c>
      <c r="AC17" s="240">
        <f>IF(ISNUMBER(Datos!Q17),Datos!Q17," - ")</f>
        <v>126</v>
      </c>
      <c r="AD17" s="374"/>
      <c r="AE17" s="562"/>
      <c r="AF17" s="741">
        <f>IF(ISNUMBER(IF(D_I="SI",Datos!L17,Datos!L17+Datos!AF17)),IF(D_I="SI",Datos!L17,Datos!L17+Datos!AF17)," - ")</f>
        <v>2193</v>
      </c>
      <c r="AG17" s="374"/>
      <c r="AH17" s="374"/>
      <c r="AI17" s="374"/>
      <c r="AJ17" s="549"/>
      <c r="AK17" s="374"/>
      <c r="AL17" s="545"/>
      <c r="AM17" s="375">
        <f>IF(ISNUMBER(Datos!R17),Datos!R17," - ")</f>
        <v>322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1143</v>
      </c>
      <c r="BD17" s="243">
        <f>IF(ISNUMBER(Datos!N17),Datos!N17," - ")</f>
        <v>6307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1.0227961819202696</v>
      </c>
      <c r="BH17" s="764">
        <f>IF(ISNUMBER(((IF(D_I="SI",Datos!L17/Datos!K17,(Datos!L17+Datos!AF17)/(Datos!K17+Datos!AE17)))*11)/factor_trimestre),((IF(D_I="SI",Datos!L17/Datos!K17,(Datos!L17+Datos!AF17)/(Datos!K17+Datos!AE17)))*11)/factor_trimestre," - ")</f>
        <v>2.6485507246376812</v>
      </c>
      <c r="BI17" s="266">
        <f>IF(ISNUMBER('Resol  Asuntos'!D17/NºAsuntos!G17),'Resol  Asuntos'!D17/NºAsuntos!G17," - ")</f>
        <v>0.12549407114624506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771</v>
      </c>
      <c r="AC18" s="547">
        <f>IF(ISNUMBER(Datos!Q18),Datos!Q18," - ")</f>
        <v>10</v>
      </c>
      <c r="AD18" s="549"/>
      <c r="AE18" s="562"/>
      <c r="AF18" s="551">
        <f>IF(ISNUMBER(Datos!L18),Datos!L18,"-")</f>
        <v>145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477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1.0433017591339648</v>
      </c>
      <c r="BH18" s="764">
        <f>IF(ISNUMBER(((IF(D_I="SI",Datos!L18/Datos!K18,(Datos!L18+Datos!AF18)/(Datos!K18+Datos!AE18)))*11)/factor_trimestre),((IF(D_I="SI",Datos!L18/Datos!K18,(Datos!L18+Datos!AF18)/(Datos!K18+Datos!AE18)))*11)/factor_trimestre," - ")</f>
        <v>2.0687418936446171</v>
      </c>
      <c r="BI18" s="763">
        <f>IF(ISNUMBER('Resol  Asuntos'!D18/NºAsuntos!G18),'Resol  Asuntos'!D18/NºAsuntos!G18," - ")</f>
        <v>8.3009079118028531E-2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504</v>
      </c>
      <c r="C21" s="747" t="str">
        <f>Datos!A21</f>
        <v xml:space="preserve">Jdos. de lo Penal                               </v>
      </c>
      <c r="D21" s="601"/>
      <c r="E21" s="1380">
        <f>IF(ISNUMBER(Datos!AQ21),Datos!AQ21," - ")</f>
        <v>3</v>
      </c>
      <c r="F21" s="552">
        <f>IF(ISNUMBER(Datos!L21+Datos!K21-Datos!J21),Datos!L21+Datos!K21-Datos!J21," - ")</f>
        <v>509</v>
      </c>
      <c r="G21" s="543">
        <f>IF(ISNUMBER(Datos!I21),Datos!I21," - ")</f>
        <v>480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1836</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1106</v>
      </c>
      <c r="AC21" s="547">
        <f>IF(ISNUMBER(Datos!Q21),Datos!Q21," - ")</f>
        <v>1972</v>
      </c>
      <c r="AD21" s="549"/>
      <c r="AE21" s="563"/>
      <c r="AF21" s="551">
        <f>IF(ISNUMBER(Datos!L21),Datos!L21,"-")</f>
        <v>545</v>
      </c>
      <c r="AG21" s="549"/>
      <c r="AH21" s="549"/>
      <c r="AI21" s="549"/>
      <c r="AJ21" s="549"/>
      <c r="AK21" s="549"/>
      <c r="AL21" s="550"/>
      <c r="AM21" s="766">
        <f>IF(ISNUMBER(Datos!R21),Datos!R21," - ")</f>
        <v>3468</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1002</v>
      </c>
      <c r="BD21" s="693"/>
      <c r="BE21" s="693" t="str">
        <f>IF(ISNUMBER(Datos!BW21),Datos!BW21," - ")</f>
        <v xml:space="preserve"> - </v>
      </c>
      <c r="BF21" s="762" t="str">
        <f>IF(ISNUMBER(Datos!BX21),Datos!BX21," - ")</f>
        <v xml:space="preserve"> - </v>
      </c>
      <c r="BG21" s="763">
        <f>IF(ISNUMBER(Datos!K21/Datos!J21),Datos!K21/Datos!J21," - ")</f>
        <v>0.968476357267951</v>
      </c>
      <c r="BH21" s="764">
        <f>IF(ISNUMBER(((Datos!L21/Datos!K21)*11)/factor_trimestre),((Datos!L21/Datos!K21)*11)/factor_trimestre," - ")</f>
        <v>5.4204339963833634</v>
      </c>
      <c r="BI21" s="763">
        <f>IF(ISNUMBER('Resol  Asuntos'!D21/NºAsuntos!G21),'Resol  Asuntos'!D21/NºAsuntos!G21," - ")</f>
        <v>0.9059674502712477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12</v>
      </c>
      <c r="F23" s="1197">
        <f>SUBTOTAL(9,F16:F22)</f>
        <v>2905</v>
      </c>
      <c r="G23" s="1197">
        <f>SUBTOTAL(9,G16:G22)</f>
        <v>3105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10985</v>
      </c>
      <c r="AC23" s="1198">
        <f t="shared" si="5"/>
        <v>2108</v>
      </c>
      <c r="AD23" s="1198">
        <f t="shared" si="5"/>
        <v>0</v>
      </c>
      <c r="AE23" s="1198">
        <f t="shared" si="5"/>
        <v>0</v>
      </c>
      <c r="AF23" s="1198">
        <f t="shared" si="5"/>
        <v>2883</v>
      </c>
      <c r="AG23" s="1198">
        <f t="shared" si="5"/>
        <v>0</v>
      </c>
      <c r="AH23" s="1198">
        <f t="shared" si="5"/>
        <v>0</v>
      </c>
      <c r="AI23" s="1198">
        <f t="shared" si="5"/>
        <v>0</v>
      </c>
      <c r="AJ23" s="1198">
        <f t="shared" si="5"/>
        <v>0</v>
      </c>
      <c r="AK23" s="1198">
        <f t="shared" si="5"/>
        <v>0</v>
      </c>
      <c r="AL23" s="1198">
        <f t="shared" si="5"/>
        <v>0</v>
      </c>
      <c r="AM23" s="1198">
        <f t="shared" si="5"/>
        <v>3792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2209</v>
      </c>
      <c r="BD23" s="1198">
        <f t="shared" si="5"/>
        <v>6784</v>
      </c>
      <c r="BE23" s="1198">
        <f t="shared" si="5"/>
        <v>0</v>
      </c>
      <c r="BF23" s="1198">
        <f t="shared" si="5"/>
        <v>0</v>
      </c>
      <c r="BG23" s="1198">
        <f>IF(ISNUMBER(Datos!K23/Datos!J23),Datos!K23/Datos!J23," - ")</f>
        <v>1.0184498423882811</v>
      </c>
      <c r="BH23" s="1202">
        <f>IF(ISNUMBER(((Datos!L23/Datos!K23)*11)/factor_trimestre),((Datos!L23/Datos!K23)*11)/factor_trimestre," - ")</f>
        <v>2.8869367319071464</v>
      </c>
      <c r="BI23" s="1198">
        <f>SUBTOTAL(9,BI16:BI22)</f>
        <v>1.1144706005355212</v>
      </c>
      <c r="BJ23" s="1198">
        <f>SUBTOTAL(9,BJ16:BJ22)</f>
        <v>0</v>
      </c>
      <c r="BK23" s="1198">
        <f>SUBTOTAL(9,BK16:BK22)</f>
        <v>0</v>
      </c>
      <c r="BL23" s="1198">
        <f>IF(ISNUMBER((I23-AB23+L23)/(F23)),(I23-AB23+L23)/(F23)," - ")</f>
        <v>-3.7814113597246126</v>
      </c>
      <c r="BM23" s="1205">
        <f>IF(ISNUMBER((Datos!P23-Datos!Q23)/(Datos!R23-Datos!P23+Datos!Q23)),(Datos!P23-Datos!Q23)/(Datos!R23-Datos!P23+Datos!Q23)," - ")</f>
        <v>-1.8633540372670808E-2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506</v>
      </c>
      <c r="C28" s="7" t="str">
        <f>Datos!A28</f>
        <v xml:space="preserve">Jdos. de lo Social                              </v>
      </c>
      <c r="D28" s="549"/>
      <c r="E28" s="1380">
        <f>IF(ISNUMBER(Datos!AQ28),Datos!AQ28," - ")</f>
        <v>1</v>
      </c>
      <c r="F28" s="552">
        <f>IF(ISNUMBER(Datos!L28+Datos!K28-Datos!J28),Datos!L28+Datos!K28-Datos!J28," - ")</f>
        <v>1200</v>
      </c>
      <c r="G28" s="543">
        <f>IF(ISNUMBER(Datos!I28),Datos!I28," - ")</f>
        <v>1190</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38</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1083</v>
      </c>
      <c r="AC28" s="240">
        <f>IF(ISNUMBER(Datos!Q28),Datos!Q28," - ")</f>
        <v>64</v>
      </c>
      <c r="AD28" s="374"/>
      <c r="AE28" s="562"/>
      <c r="AF28" s="372">
        <f>IF(ISNUMBER(Datos!L28),Datos!L28,"-")</f>
        <v>1209</v>
      </c>
      <c r="AG28" s="549"/>
      <c r="AH28" s="374"/>
      <c r="AI28" s="374"/>
      <c r="AJ28" s="549"/>
      <c r="AK28" s="549"/>
      <c r="AL28" s="550"/>
      <c r="AM28" s="375">
        <f>IF(ISNUMBER(Datos!R28),Datos!R28," - ")</f>
        <v>8</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361</v>
      </c>
      <c r="BD28" s="239">
        <f>IF(ISNUMBER(Datos!N28),Datos!N28," - ")</f>
        <v>67</v>
      </c>
      <c r="BE28" s="245" t="str">
        <f>IF(ISNUMBER(Datos!BW28),Datos!BW28," - ")</f>
        <v xml:space="preserve"> - </v>
      </c>
      <c r="BF28" s="246" t="str">
        <f>IF(ISNUMBER(Datos!BX28),Datos!BX28," - ")</f>
        <v xml:space="preserve"> - </v>
      </c>
      <c r="BG28" s="763">
        <f>IF(ISNUMBER(Datos!K28/Datos!J28),Datos!K28/Datos!J28," - ")</f>
        <v>0.99175824175824179</v>
      </c>
      <c r="BH28" s="764">
        <f>IF(ISNUMBER(((Datos!L28/Datos!K28)*11)/factor_trimestre),((Datos!L28/Datos!K28)*11)/factor_trimestre," - ")</f>
        <v>12.279778393351801</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1200</v>
      </c>
      <c r="G30" s="1197">
        <f t="shared" si="13"/>
        <v>1190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38</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1083</v>
      </c>
      <c r="AC30" s="1198">
        <f t="shared" si="15"/>
        <v>64</v>
      </c>
      <c r="AD30" s="1198">
        <f t="shared" si="15"/>
        <v>0</v>
      </c>
      <c r="AE30" s="1198">
        <f t="shared" si="15"/>
        <v>0</v>
      </c>
      <c r="AF30" s="1199">
        <f t="shared" si="15"/>
        <v>1209</v>
      </c>
      <c r="AG30" s="1199">
        <f t="shared" si="15"/>
        <v>0</v>
      </c>
      <c r="AH30" s="1199">
        <f t="shared" si="15"/>
        <v>0</v>
      </c>
      <c r="AI30" s="1199">
        <f t="shared" si="15"/>
        <v>0</v>
      </c>
      <c r="AJ30" s="1198">
        <f t="shared" si="15"/>
        <v>0</v>
      </c>
      <c r="AK30" s="1199">
        <f t="shared" si="15"/>
        <v>0</v>
      </c>
      <c r="AL30" s="1199"/>
      <c r="AM30" s="1199">
        <f t="shared" ref="AM30:AV30" si="16">SUBTOTAL(9,AM28:AM29)</f>
        <v>8</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361</v>
      </c>
      <c r="BD30" s="1211"/>
      <c r="BE30" s="1198">
        <f>SUBTOTAL(9,BE28:BE29)</f>
        <v>0</v>
      </c>
      <c r="BF30" s="1207">
        <f>SUBTOTAL(9,BF28:BF29)</f>
        <v>0</v>
      </c>
      <c r="BG30" s="1198">
        <f>IF(ISNUMBER(Datos!K30/Datos!J30),Datos!K30/Datos!J30," - ")</f>
        <v>0.99175824175824179</v>
      </c>
      <c r="BH30" s="1202">
        <f>IF(ISNUMBER(((Datos!L30/Datos!K30)*11)/factor_trimestre),((Datos!L30/Datos!K30)*11)/factor_trimestre," - ")</f>
        <v>12.279778393351801</v>
      </c>
      <c r="BI30" s="1203"/>
      <c r="BJ30" s="1203">
        <f>IF(ISNUMBER(BL30/BM30),BL30/BM30," - ")</f>
        <v>1.1801923076923078</v>
      </c>
      <c r="BK30" s="1196">
        <f>SUBTOTAL(9,BK28:BK29)</f>
        <v>0</v>
      </c>
      <c r="BL30" s="1198">
        <f t="shared" si="12"/>
        <v>-0.90249999999999997</v>
      </c>
      <c r="BM30" s="1205">
        <f>IF(ISNUMBER((Datos!P30-Datos!Q30)/(Datos!R30-Datos!P30+Datos!Q30)),(Datos!P30-Datos!Q30)/(Datos!R30-Datos!P30+Datos!Q30)," - ")</f>
        <v>-0.76470588235294112</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22</v>
      </c>
      <c r="F31" s="1117">
        <f t="shared" si="18"/>
        <v>4153</v>
      </c>
      <c r="G31" s="1117">
        <f t="shared" si="18"/>
        <v>4343</v>
      </c>
      <c r="H31" s="1119">
        <f t="shared" si="18"/>
        <v>0</v>
      </c>
      <c r="I31" s="1117">
        <f t="shared" si="18"/>
        <v>0</v>
      </c>
      <c r="J31" s="1119">
        <f t="shared" si="18"/>
        <v>0</v>
      </c>
      <c r="K31" s="1119">
        <f t="shared" si="18"/>
        <v>0</v>
      </c>
      <c r="L31" s="1180">
        <f t="shared" si="18"/>
        <v>0</v>
      </c>
      <c r="M31" s="1180">
        <f t="shared" si="18"/>
        <v>0</v>
      </c>
      <c r="N31" s="1180">
        <f t="shared" si="18"/>
        <v>566</v>
      </c>
      <c r="O31" s="1180">
        <f t="shared" si="18"/>
        <v>0</v>
      </c>
      <c r="P31" s="1180">
        <f t="shared" si="18"/>
        <v>0</v>
      </c>
      <c r="Q31" s="1119">
        <f t="shared" si="18"/>
        <v>4423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12155</v>
      </c>
      <c r="AC31" s="1118">
        <f t="shared" si="19"/>
        <v>4795</v>
      </c>
      <c r="AD31" s="1118">
        <f t="shared" si="19"/>
        <v>0</v>
      </c>
      <c r="AE31" s="1118">
        <f t="shared" si="19"/>
        <v>0</v>
      </c>
      <c r="AF31" s="1125">
        <f t="shared" si="19"/>
        <v>4150</v>
      </c>
      <c r="AG31" s="1125">
        <f t="shared" si="19"/>
        <v>0</v>
      </c>
      <c r="AH31" s="1125">
        <f t="shared" si="19"/>
        <v>96</v>
      </c>
      <c r="AI31" s="1125">
        <f t="shared" si="19"/>
        <v>0</v>
      </c>
      <c r="AJ31" s="1118">
        <f t="shared" si="19"/>
        <v>0</v>
      </c>
      <c r="AK31" s="1125">
        <f t="shared" si="19"/>
        <v>0</v>
      </c>
      <c r="AL31" s="1125">
        <f t="shared" si="19"/>
        <v>0</v>
      </c>
      <c r="AM31" s="1125">
        <f t="shared" si="19"/>
        <v>12127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4448</v>
      </c>
      <c r="BD31" s="1117">
        <f t="shared" si="19"/>
        <v>10417</v>
      </c>
      <c r="BE31" s="1117">
        <f t="shared" si="19"/>
        <v>0</v>
      </c>
      <c r="BF31" s="1127">
        <f t="shared" si="19"/>
        <v>0</v>
      </c>
      <c r="BG31" s="1223">
        <f>IF(ISNUMBER(Datos!K31/Datos!J31),Datos!K31/Datos!J31," - ")</f>
        <v>0.95956075435664834</v>
      </c>
      <c r="BH31" s="1223">
        <f>IF(ISNUMBER(((Datos!L31/Datos!K31)*11)/factor_trimestre),((Datos!L31/Datos!K31)*11)/factor_trimestre," - ")</f>
        <v>5.5410488605831434</v>
      </c>
      <c r="BI31" s="1103">
        <f>IF(ISNUMBER(Datos!J31/Datos!I31),Datos!J31/Datos!I31," - ")</f>
        <v>2.2640795589665981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-2.9267999036840839</v>
      </c>
      <c r="BM31" s="1188">
        <f>IF(ISNUMBER((Datos!P31-Datos!Q31+R31)/(Datos!R31-Datos!P31+Datos!Q31-R31)),(Datos!P31-Datos!Q31+R31)/(Datos!R31-Datos!P31+Datos!Q31-R31)," - ")</f>
        <v>-2.9762380990479238E-2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965.11111111111109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3.8304718534252462</v>
      </c>
      <c r="F33" s="673">
        <f>IF(ISNUMBER(STDEV(F8:F30)),STDEV(F8:F30),"-")</f>
        <v>1114.8238489939629</v>
      </c>
      <c r="G33" s="674">
        <f>IF(ISNUMBER(STDEV(G8:G30)),STDEV(G8:G30),"-")</f>
        <v>1137.39345044321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4215.1582249200455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846.88438145685245</v>
      </c>
      <c r="BD33" s="673"/>
      <c r="BE33" s="673">
        <f>IF(ISNUMBER(STDEV(BE8:BE30)),STDEV(BE8:BE30),"-")</f>
        <v>0</v>
      </c>
      <c r="BF33" s="678">
        <f>IF(ISNUMBER(STDEV(BF8:BF30)),STDEV(BF8:BF30),"-")</f>
        <v>0</v>
      </c>
      <c r="BG33" s="1052">
        <f>IF(ISNUMBER(STDEV(BG8:BG30)),STDEV(BG8:BG30),"-")</f>
        <v>6.1562057489761624E-2</v>
      </c>
      <c r="BH33" s="1058">
        <f>IF(ISNUMBER(STDEV(BH8:BH30)),STDEV(BH8:BH30),"-")</f>
        <v>3.8803680785808501</v>
      </c>
      <c r="BI33" s="273">
        <f>IF(ISNUMBER(STDEV(BI8:BI30)),STDEV(BI8:BI30),"-")</f>
        <v>0.4834456401845304</v>
      </c>
      <c r="BJ33" s="244" t="str">
        <f>IF(ISNUMBER(BL33/BM33),BL33/BM33," - ")</f>
        <v xml:space="preserve"> - </v>
      </c>
      <c r="BK33" s="709"/>
      <c r="BL33" s="681">
        <f>IF(ISNUMBER(STDEV(BL8:BL30)),STDEV(BL8:BL30),"-")</f>
        <v>1.4715548783290437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rvkb+SLR872qdPGEKXx1RgC7mkl7bv4sam2m/yoGEI08mVX9LUBTgnpMu3eY3Ec8EBae2ftVFa4p4P6ndbshQ==" saltValue="tfnIti1Uc/I+vVWlCFj6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MANRESA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48</v>
      </c>
      <c r="G10" s="552">
        <f>IF(ISNUMBER(Datos!I10),Datos!I10," - ")</f>
        <v>48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87</v>
      </c>
      <c r="Z10" s="805">
        <f>IF(ISNUMBER(Datos!Q10),Datos!Q10," - ")</f>
        <v>40</v>
      </c>
      <c r="AA10" s="551">
        <f>IF(ISNUMBER(Datos!L10),Datos!L10,"-")</f>
        <v>58</v>
      </c>
      <c r="AB10" s="549"/>
      <c r="AC10" s="549"/>
      <c r="AD10" s="563"/>
      <c r="AE10" s="563">
        <f>IF(ISNUMBER(Datos!R10),Datos!R10," - ")</f>
        <v>94</v>
      </c>
      <c r="AF10" s="693" t="str">
        <f>IF(ISNUMBER(Datos!BV10),Datos!BV10," - ")</f>
        <v xml:space="preserve"> - </v>
      </c>
      <c r="AG10" s="552" t="str">
        <f>IF(ISNUMBER(Datos!DV10),Datos!DV10," - ")</f>
        <v xml:space="preserve"> - </v>
      </c>
      <c r="AH10" s="553"/>
      <c r="AI10" s="554"/>
      <c r="AJ10" s="552">
        <f>IF(ISNUMBER(Datos!M10),Datos!M10," - ")</f>
        <v>38</v>
      </c>
      <c r="AK10" s="693">
        <f>IF(ISNUMBER(Datos!N10),Datos!N10," - ")</f>
        <v>59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-3.0927835051546393E-2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315</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2583</v>
      </c>
      <c r="AA12" s="551" t="str">
        <f>IF(ISNUMBER(IF(J_V="SI",Datos!L12,Datos!L12+Datos!AB12)-IF(Monitorios="SI",Datos!CD12,0)),
                          IF(J_V="SI",Datos!L12,Datos!L12+Datos!AB12)-IF(Monitorios="SI",Datos!CD12,0),
                          " - ")</f>
        <v xml:space="preserve"> - </v>
      </c>
      <c r="AB12" s="549"/>
      <c r="AC12" s="549"/>
      <c r="AD12" s="563"/>
      <c r="AE12" s="563">
        <f>IF(ISNUMBER(Datos!R12),Datos!R12," - ")</f>
        <v>8233</v>
      </c>
      <c r="AF12" s="693" t="str">
        <f>IF(ISNUMBER(Datos!BV12),Datos!BV12," - ")</f>
        <v xml:space="preserve"> - </v>
      </c>
      <c r="AG12" s="552" t="str">
        <f>IF(ISNUMBER(Datos!DV12),Datos!DV12," - ")</f>
        <v xml:space="preserve"> - </v>
      </c>
      <c r="AH12" s="553"/>
      <c r="AI12" s="554"/>
      <c r="AJ12" s="552">
        <f>IF(ISNUMBER(Datos!M12),Datos!M12," - ")</f>
        <v>1840</v>
      </c>
      <c r="AK12" s="693">
        <f>IF(ISNUMBER(Datos!N12),Datos!N12," - ")</f>
        <v>3507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7.8701084394153709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-3.1867356538099717E-2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48</v>
      </c>
      <c r="G14" s="1197">
        <f>SUBTOTAL(9,G8:G13)</f>
        <v>48</v>
      </c>
      <c r="H14" s="1211"/>
      <c r="I14" s="1197">
        <f t="shared" ref="I14:N14" si="1">SUBTOTAL(9,I8:I13)</f>
        <v>0</v>
      </c>
      <c r="J14" s="1164">
        <f t="shared" si="1"/>
        <v>0</v>
      </c>
      <c r="K14" s="1211">
        <f t="shared" si="1"/>
        <v>0</v>
      </c>
      <c r="L14" s="1211">
        <f t="shared" si="1"/>
        <v>0</v>
      </c>
      <c r="M14" s="1211">
        <f t="shared" si="1"/>
        <v>0</v>
      </c>
      <c r="N14" s="1211">
        <f t="shared" si="1"/>
        <v>2349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87</v>
      </c>
      <c r="Z14" s="1210">
        <f t="shared" si="3"/>
        <v>2623</v>
      </c>
      <c r="AA14" s="1199">
        <f t="shared" si="3"/>
        <v>58</v>
      </c>
      <c r="AB14" s="1199">
        <f t="shared" si="3"/>
        <v>0</v>
      </c>
      <c r="AC14" s="1199">
        <f t="shared" si="3"/>
        <v>0</v>
      </c>
      <c r="AD14" s="1199">
        <f t="shared" si="3"/>
        <v>0</v>
      </c>
      <c r="AE14" s="1199">
        <f t="shared" si="3"/>
        <v>8327</v>
      </c>
      <c r="AF14" s="1211">
        <f t="shared" si="3"/>
        <v>0</v>
      </c>
      <c r="AG14" s="1211">
        <f t="shared" si="3"/>
        <v>0</v>
      </c>
      <c r="AH14" s="1211">
        <f t="shared" si="3"/>
        <v>0</v>
      </c>
      <c r="AI14" s="1211">
        <f t="shared" si="3"/>
        <v>0</v>
      </c>
      <c r="AJ14" s="1211">
        <f t="shared" si="3"/>
        <v>1878</v>
      </c>
      <c r="AK14" s="1211">
        <f t="shared" si="3"/>
        <v>3566</v>
      </c>
      <c r="AL14" s="1211">
        <f t="shared" si="3"/>
        <v>0</v>
      </c>
      <c r="AM14" s="1211">
        <f t="shared" si="3"/>
        <v>0</v>
      </c>
      <c r="AN14" s="1211">
        <f t="shared" si="3"/>
        <v>0</v>
      </c>
      <c r="AO14" s="1203">
        <f>IF(ISNUMBER(((NºAsuntos!I14/NºAsuntos!G14)*11)/factor_trimestre),((NºAsuntos!I14/NºAsuntos!G14)*11)/factor_trimestre," - ")</f>
        <v>7.8646598996616497</v>
      </c>
      <c r="AP14" s="1213" t="str">
        <f>IF(ISNUMBER(Datos!CI14/Datos!CJ14),Datos!CI14/Datos!CJ14," - ")</f>
        <v xml:space="preserve"> - </v>
      </c>
      <c r="AQ14" s="1236">
        <f t="shared" ref="AQ14:AV14" si="4">SUBTOTAL(9,AQ9:AQ13)</f>
        <v>0</v>
      </c>
      <c r="AR14" s="1236">
        <f t="shared" si="4"/>
        <v>-6.279519158964611E-2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504</v>
      </c>
      <c r="C17" s="765" t="str">
        <f>Datos!A17</f>
        <v xml:space="preserve">Jdos. 1ª Instª. e Instr.                        </v>
      </c>
      <c r="D17" s="593"/>
      <c r="E17" s="1558">
        <f>IF(ISNUMBER(Datos!AQ17),Datos!AQ17," - ")</f>
        <v>8</v>
      </c>
      <c r="F17" s="543">
        <f>IF(ISNUMBER(AA17+Y17-Datos!J17-K16),AA17+Y17-Datos!J17-K16," - ")</f>
        <v>2396</v>
      </c>
      <c r="G17" s="552">
        <f>IF(ISNUMBER(IF(D_I="SI",Datos!I17,Datos!I17+Datos!AC17)),IF(D_I="SI",Datos!I17,Datos!I17+Datos!AC17)," - ")</f>
        <v>2448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9108</v>
      </c>
      <c r="Z17" s="805">
        <f>IF(ISNUMBER(Datos!Q17),Datos!Q17," - ")</f>
        <v>126</v>
      </c>
      <c r="AA17" s="551">
        <f>IF(ISNUMBER(IF(D_I="SI",Datos!L17,Datos!L17+Datos!AF17)),IF(D_I="SI",Datos!L17,Datos!L17+Datos!AF17)," - ")</f>
        <v>2193</v>
      </c>
      <c r="AB17" s="549"/>
      <c r="AC17" s="549"/>
      <c r="AD17" s="563"/>
      <c r="AE17" s="563">
        <f>IF(ISNUMBER(Datos!R17),Datos!R17," - ")</f>
        <v>322</v>
      </c>
      <c r="AF17" s="693" t="str">
        <f>IF(ISNUMBER(Datos!BV17),Datos!BV17," - ")</f>
        <v xml:space="preserve"> - </v>
      </c>
      <c r="AG17" s="552"/>
      <c r="AH17" s="553"/>
      <c r="AI17" s="554"/>
      <c r="AJ17" s="552">
        <f>IF(ISNUMBER(Datos!M17),Datos!M17," - ")</f>
        <v>1143</v>
      </c>
      <c r="AK17" s="693">
        <f>IF(ISNUMBER(Datos!N17),Datos!N17," - ")</f>
        <v>6307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2.6485507246376812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771</v>
      </c>
      <c r="Z18" s="805">
        <f>IF(ISNUMBER(Datos!Q18),Datos!Q18," - ")</f>
        <v>10</v>
      </c>
      <c r="AA18" s="551">
        <f>IF(ISNUMBER(Datos!L18),Datos!L18,"-")</f>
        <v>145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64</v>
      </c>
      <c r="AK18" s="693">
        <f>IF(ISNUMBER(Datos!N18),Datos!N18," - ")</f>
        <v>477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2.0687418936446171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504</v>
      </c>
      <c r="C21" s="747" t="str">
        <f>Datos!A21</f>
        <v xml:space="preserve">Jdos. de lo Penal                               </v>
      </c>
      <c r="D21" s="601"/>
      <c r="E21" s="1558">
        <f>IF(ISNUMBER(Datos!AQ21),Datos!AQ21," - ")</f>
        <v>3</v>
      </c>
      <c r="F21" s="552">
        <f>IF(ISNUMBER(Datos!L21+Datos!K21-Datos!J21),Datos!L21+Datos!K21-Datos!J21," - ")</f>
        <v>509</v>
      </c>
      <c r="G21" s="552">
        <f>IF(ISNUMBER(Datos!I21),Datos!I21," - ")</f>
        <v>480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1836</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1106</v>
      </c>
      <c r="Z21" s="805">
        <f>IF(ISNUMBER(Datos!Q21),Datos!Q21," - ")</f>
        <v>1972</v>
      </c>
      <c r="AA21" s="551">
        <f>IF(ISNUMBER(Datos!L21),Datos!L21,"-")</f>
        <v>545</v>
      </c>
      <c r="AB21" s="549"/>
      <c r="AC21" s="549"/>
      <c r="AD21" s="563"/>
      <c r="AE21" s="563">
        <f>IF(ISNUMBER(Datos!R21),Datos!R21," - ")</f>
        <v>3468</v>
      </c>
      <c r="AF21" s="693" t="str">
        <f>IF(ISNUMBER(Datos!BV21),Datos!BV21," - ")</f>
        <v xml:space="preserve"> - </v>
      </c>
      <c r="AG21" s="552"/>
      <c r="AH21" s="553"/>
      <c r="AI21" s="554"/>
      <c r="AJ21" s="552">
        <f>IF(ISNUMBER(Datos!M21),Datos!M21," - ")</f>
        <v>1002</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5.4204339963833634</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12</v>
      </c>
      <c r="F23" s="1197">
        <f>SUBTOTAL(9,F16:F22)</f>
        <v>2905</v>
      </c>
      <c r="G23" s="1197">
        <f>SUBTOTAL(9,G16:G22)</f>
        <v>3105</v>
      </c>
      <c r="H23" s="1240">
        <f>SUBTOTAL(9,H16:H22)</f>
        <v>0</v>
      </c>
      <c r="I23" s="1217">
        <f>SUBTOTAL(9,I16:I22)</f>
        <v>0</v>
      </c>
      <c r="J23" s="1164">
        <f>SUBTOTAL(9,J15:J22)</f>
        <v>0</v>
      </c>
      <c r="K23" s="1240">
        <f t="shared" ref="K23:S23" si="5">SUBTOTAL(9,K16:K22)</f>
        <v>0</v>
      </c>
      <c r="L23" s="1240">
        <f t="shared" si="5"/>
        <v>0</v>
      </c>
      <c r="M23" s="1240">
        <f t="shared" si="5"/>
        <v>0</v>
      </c>
      <c r="N23" s="1240">
        <f t="shared" si="5"/>
        <v>2036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10985</v>
      </c>
      <c r="Z23" s="1240">
        <f t="shared" si="6"/>
        <v>2108</v>
      </c>
      <c r="AA23" s="1240">
        <f t="shared" si="6"/>
        <v>2883</v>
      </c>
      <c r="AB23" s="1240">
        <f t="shared" si="6"/>
        <v>0</v>
      </c>
      <c r="AC23" s="1240">
        <f t="shared" si="6"/>
        <v>0</v>
      </c>
      <c r="AD23" s="1240">
        <f t="shared" si="6"/>
        <v>0</v>
      </c>
      <c r="AE23" s="1240">
        <f t="shared" si="6"/>
        <v>3792</v>
      </c>
      <c r="AF23" s="1240">
        <f t="shared" si="6"/>
        <v>0</v>
      </c>
      <c r="AG23" s="1240">
        <f t="shared" si="6"/>
        <v>0</v>
      </c>
      <c r="AH23" s="1240">
        <f t="shared" si="6"/>
        <v>0</v>
      </c>
      <c r="AI23" s="1240">
        <f t="shared" si="6"/>
        <v>0</v>
      </c>
      <c r="AJ23" s="1240">
        <f t="shared" si="6"/>
        <v>2209</v>
      </c>
      <c r="AK23" s="1240">
        <f t="shared" si="6"/>
        <v>6784</v>
      </c>
      <c r="AL23" s="1240">
        <f t="shared" si="6"/>
        <v>0</v>
      </c>
      <c r="AM23" s="1240">
        <f t="shared" si="6"/>
        <v>0</v>
      </c>
      <c r="AN23" s="1240">
        <f t="shared" si="6"/>
        <v>0</v>
      </c>
      <c r="AO23" s="1242">
        <f>IF(ISNUMBER(((NºAsuntos!I23/NºAsuntos!G23)*11)/factor_trimestre),((NºAsuntos!I23/NºAsuntos!G23)*11)/factor_trimestre," - ")</f>
        <v>2.8869367319071464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506</v>
      </c>
      <c r="C28" s="7" t="str">
        <f>Datos!A28</f>
        <v xml:space="preserve">Jdos. de lo Social                              </v>
      </c>
      <c r="D28" s="562"/>
      <c r="E28" s="1380">
        <f>IF(ISNUMBER(Datos!AQ28),Datos!AQ28," - ")</f>
        <v>1</v>
      </c>
      <c r="F28" s="552">
        <f>IF(ISNUMBER(Datos!L28+Datos!K28-Datos!J28),Datos!L28+Datos!K28-Datos!J28," - ")</f>
        <v>1200</v>
      </c>
      <c r="G28" s="552">
        <f>IF(ISNUMBER(Datos!I28),Datos!I28," - ")</f>
        <v>1190</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38</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1209</v>
      </c>
      <c r="AB28" s="549"/>
      <c r="AC28" s="549"/>
      <c r="AD28" s="563"/>
      <c r="AE28" s="563">
        <f>IF(ISNUMBER(Datos!R28),Datos!R28," - ")</f>
        <v>8</v>
      </c>
      <c r="AF28" s="243" t="str">
        <f>IF(ISNUMBER(Datos!BV28),Datos!BV28," - ")</f>
        <v xml:space="preserve"> - </v>
      </c>
      <c r="AG28" s="552"/>
      <c r="AH28" s="553"/>
      <c r="AI28" s="554"/>
      <c r="AJ28" s="239">
        <f>IF(ISNUMBER(Datos!M28),Datos!M28," - ")</f>
        <v>361</v>
      </c>
      <c r="AK28" s="245">
        <f>IF(ISNUMBER(Datos!N28),Datos!N28," - ")</f>
        <v>67</v>
      </c>
      <c r="AL28" s="245" t="str">
        <f>IF(ISNUMBER(Datos!BW28),Datos!BW28," - ")</f>
        <v xml:space="preserve"> - </v>
      </c>
      <c r="AM28" s="246" t="str">
        <f>IF(ISNUMBER(Datos!BX28),Datos!BX28," - ")</f>
        <v xml:space="preserve"> - </v>
      </c>
      <c r="AN28" s="404"/>
      <c r="AO28" s="405">
        <f>IF(ISNUMBER(((Datos!L28/Datos!K28)*11)/factor_trimestre),((Datos!L28/Datos!K28)*11)/factor_trimestre," - ")</f>
        <v>12.279778393351801</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1200</v>
      </c>
      <c r="G30" s="1197">
        <f t="shared" si="10"/>
        <v>1190</v>
      </c>
      <c r="H30" s="1211">
        <f t="shared" si="10"/>
        <v>0</v>
      </c>
      <c r="I30" s="1197">
        <f t="shared" si="10"/>
        <v>0</v>
      </c>
      <c r="J30" s="1167">
        <f t="shared" si="10"/>
        <v>0</v>
      </c>
      <c r="K30" s="1197">
        <f t="shared" si="10"/>
        <v>0</v>
      </c>
      <c r="L30" s="1197">
        <f t="shared" si="10"/>
        <v>0</v>
      </c>
      <c r="M30" s="1197">
        <f t="shared" si="10"/>
        <v>0</v>
      </c>
      <c r="N30" s="1197">
        <f t="shared" si="10"/>
        <v>38</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1209</v>
      </c>
      <c r="AB30" s="1199">
        <f t="shared" si="11"/>
        <v>0</v>
      </c>
      <c r="AC30" s="1199">
        <f t="shared" si="11"/>
        <v>0</v>
      </c>
      <c r="AD30" s="1210">
        <f t="shared" si="11"/>
        <v>0</v>
      </c>
      <c r="AE30" s="1210">
        <f t="shared" si="11"/>
        <v>8</v>
      </c>
      <c r="AF30" s="1211">
        <f t="shared" si="11"/>
        <v>0</v>
      </c>
      <c r="AG30" s="1197">
        <f t="shared" si="11"/>
        <v>0</v>
      </c>
      <c r="AH30" s="1212">
        <f t="shared" si="11"/>
        <v>0</v>
      </c>
      <c r="AI30" s="1207">
        <f t="shared" si="11"/>
        <v>0</v>
      </c>
      <c r="AJ30" s="1197">
        <f t="shared" si="11"/>
        <v>361</v>
      </c>
      <c r="AK30" s="1211">
        <f t="shared" si="11"/>
        <v>67</v>
      </c>
      <c r="AL30" s="1198">
        <f t="shared" si="11"/>
        <v>0</v>
      </c>
      <c r="AM30" s="1207">
        <f t="shared" si="11"/>
        <v>0</v>
      </c>
      <c r="AN30" s="1203">
        <f>IF(ISNUMBER(NºAsuntos!G30/NºAsuntos!E30),NºAsuntos!G30/NºAsuntos!E30," - ")</f>
        <v>0.99175824175824179</v>
      </c>
      <c r="AO30" s="1219">
        <f>IF(ISNUMBER(((Datos!L30/Datos!K30)*11)/factor_trimestre),((Datos!L30/Datos!K30)*11)/factor_trimestre," - ")</f>
        <v>12.279778393351801</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22</v>
      </c>
      <c r="F31" s="1117">
        <f t="shared" si="12"/>
        <v>4153</v>
      </c>
      <c r="G31" s="1117">
        <f t="shared" si="12"/>
        <v>4343</v>
      </c>
      <c r="H31" s="1118">
        <f t="shared" si="12"/>
        <v>0</v>
      </c>
      <c r="I31" s="1117">
        <f t="shared" si="12"/>
        <v>0</v>
      </c>
      <c r="J31" s="1119">
        <f t="shared" si="12"/>
        <v>0</v>
      </c>
      <c r="K31" s="1117">
        <f t="shared" si="12"/>
        <v>0</v>
      </c>
      <c r="L31" s="1120">
        <f t="shared" si="12"/>
        <v>0</v>
      </c>
      <c r="M31" s="1117">
        <f t="shared" si="12"/>
        <v>0</v>
      </c>
      <c r="N31" s="1118">
        <f t="shared" si="12"/>
        <v>4423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11072</v>
      </c>
      <c r="Z31" s="1124">
        <f t="shared" si="13"/>
        <v>4731</v>
      </c>
      <c r="AA31" s="1125">
        <f t="shared" si="13"/>
        <v>4150</v>
      </c>
      <c r="AB31" s="1125">
        <f t="shared" si="13"/>
        <v>0</v>
      </c>
      <c r="AC31" s="1125">
        <f t="shared" si="13"/>
        <v>0</v>
      </c>
      <c r="AD31" s="1126">
        <f t="shared" si="13"/>
        <v>0</v>
      </c>
      <c r="AE31" s="1126">
        <f t="shared" si="13"/>
        <v>12127</v>
      </c>
      <c r="AF31" s="1127">
        <f t="shared" si="13"/>
        <v>0</v>
      </c>
      <c r="AG31" s="1128">
        <f t="shared" si="13"/>
        <v>0</v>
      </c>
      <c r="AH31" s="1129">
        <f t="shared" si="13"/>
        <v>0</v>
      </c>
      <c r="AI31" s="1127">
        <f t="shared" si="13"/>
        <v>0</v>
      </c>
      <c r="AJ31" s="1117">
        <f t="shared" si="13"/>
        <v>4448</v>
      </c>
      <c r="AK31" s="1117">
        <f t="shared" si="13"/>
        <v>10417</v>
      </c>
      <c r="AL31" s="1117">
        <f t="shared" si="13"/>
        <v>0</v>
      </c>
      <c r="AM31" s="1130">
        <f t="shared" si="13"/>
        <v>0</v>
      </c>
      <c r="AN31" s="1120">
        <f>IF(ISNUMBER(Datos!K31/Datos!J31),Datos!K31/Datos!J31," - ")</f>
        <v>0.95956075435664834</v>
      </c>
      <c r="AO31" s="1120">
        <f>IF(ISNUMBER(FIND("06",Criterios!A8,1)),(IF(ISNUMBER(((Datos!R31/Datos!Q31)*11)/factor_trimestre),((Datos!R31/Datos!Q31)*11)/factor_trimestre," - ")),(IF(ISNUMBER(((Datos!L31/Datos!K31)*11)/factor_trimestre),((Datos!L31/Datos!K31)*11)/factor_trimestre," - ")))</f>
        <v>5.5410488605831434</v>
      </c>
      <c r="AP31" s="1131" t="str">
        <f>IF(ISNUMBER(Datos!CI31/Datos!CJ31),Datos!CI31/Datos!CJ31," - ")</f>
        <v xml:space="preserve"> - </v>
      </c>
      <c r="AQ31" s="1131">
        <f>IF(OR(ISNUMBER(FIND("01",Criterios!A8,1)),ISNUMBER(FIND("02",Criterios!A8,1)),ISNUMBER(FIND("03",Criterios!A8,1)),ISNUMBER(FIND("04",Criterios!A8,1))),(J31-Y31+K31)/(F31-K31),(I31-Y31+K31)/(F31-K31))</f>
        <v>-2.6660245605586321</v>
      </c>
      <c r="AR31" s="1131">
        <f>IF(ISNUMBER((Datos!P31-Datos!Q31+O31)/(Datos!R31-Datos!P31+Datos!Q31-O31)),(Datos!P31-Datos!Q31+O31)/(Datos!R31-Datos!P31+Datos!Q31-O31)," - ")</f>
        <v>-2.9762380990479238E-2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965.11111111111109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1114.8238489939629</v>
      </c>
      <c r="G33" s="674">
        <f>IF(ISNUMBER(STDEV(G8:G30)),STDEV(G8:G30),"-")</f>
        <v>1137.39345044321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846.88438145685245</v>
      </c>
      <c r="AK33" s="276"/>
      <c r="AL33" s="276">
        <f>IF(ISNUMBER(STDEV(AL8:AL30)),STDEV(AL8:AL30),"-")</f>
        <v>0</v>
      </c>
      <c r="AM33" s="278">
        <f>IF(ISNUMBER(STDEV(AM8:AM30)),STDEV(AM8:AM30),"-")</f>
        <v>0</v>
      </c>
      <c r="AN33" s="660">
        <f>IF(ISNUMBER(STDEV(AN8:AN30)),STDEV(AN8:AN30),"-")</f>
        <v>0.57259188785015092</v>
      </c>
      <c r="AO33" s="661">
        <f>IF(ISNUMBER(STDEV(AO8:AO30)),STDEV(AO8:AO30),"-")</f>
        <v>3.8636170329505748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ecJxY8wDpwv30gqb+hHNU0j0Q6AeXSeRH8q5wftbG6Z1S33SChGiz95XNY+6CQQiFngi+DcNIMgukaE5T8DqA==" saltValue="84CoqZr3mvFgu82AWnQq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THz9X5HrD4ioVJtYz4ZUXaoCF75ZVllSaw9aUgTyMY6ayHpZC4NC9xFpUfHGKRTIHMU2MLV3EpGWkgZYHB5+fg==" saltValue="0X+F5Arf+qsC534jDtfh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xWZ96qbCFVFNQmIJVjRBWLxACJFreINzz5K0isiahc3SybMUK5A+BHYVROe1epoizjL9mox8BoCp0FITliywjA==" saltValue="7xexXbv+cbvHFMm4hOpL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MANRESA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0.21911095554777738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0.15493484250009756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YOexWE8SGFCsnCUNJqmzq51UvVc1Dwk7RaVrmqSDskfLKRDXC6BhmqY++9MTy+DNd+uF+KxkgOFRCz9lHXqiQ==" saltValue="YpdcvIwZqrqAR6iJBPN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mjg3+LpLMRKQiNlS2QmuWRhN0NmoFrSmoG1dabg5kbuCqQdj+xGIujuYPh5tW5Yl7w6CaaTXxbxk4b66IYQ1bA==" saltValue="WgTLAbrpE3Lfm3dNITu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BARCELONA</v>
      </c>
      <c r="D3" s="436"/>
      <c r="E3" s="436"/>
      <c r="F3" s="436"/>
    </row>
    <row r="4" spans="1:14" ht="13.5" thickBot="1">
      <c r="A4" s="436"/>
      <c r="B4" s="439" t="str">
        <f>Criterios!A11 &amp;"  "&amp;Criterios!B11</f>
        <v>Resumenes por Partidos Judiciales  MANRESA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48</v>
      </c>
      <c r="D10" s="452">
        <f>IF(ISNUMBER(C10/Datos!BH10),C10/Datos!BH10," - ")</f>
        <v>48</v>
      </c>
      <c r="E10" s="451">
        <f>IF(ISNUMBER(Datos!J10),Datos!J10," - ")</f>
        <v>97</v>
      </c>
      <c r="F10" s="452">
        <f>IF(ISNUMBER(E10/B10),E10/B10," - ")</f>
        <v>97</v>
      </c>
      <c r="G10" s="451">
        <f>IF(ISNUMBER(Datos!K10),Datos!K10," - ")</f>
        <v>87</v>
      </c>
      <c r="H10" s="452">
        <f>IF(ISNUMBER(G10/B10),G10/B10," - ")</f>
        <v>87</v>
      </c>
      <c r="I10" s="451">
        <f>IF(ISNUMBER(Datos!L10),Datos!L10," - ")</f>
        <v>58</v>
      </c>
      <c r="J10" s="452">
        <f>IF(ISNUMBER(I10/B10),I10/B10," - ")</f>
        <v>58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4991</v>
      </c>
      <c r="D12" s="452">
        <f>IF(ISNUMBER(C12/Datos!BH12),C12/Datos!BH12," - ")</f>
        <v>623.875</v>
      </c>
      <c r="E12" s="451">
        <f>IF(ISNUMBER(IF(J_V="SI",Datos!J12,Datos!J12+Datos!Z12)),IF(J_V="SI",Datos!J12,Datos!J12+Datos!Z12)," - ")</f>
        <v>9536</v>
      </c>
      <c r="F12" s="452">
        <f>IF(ISNUMBER(E12/B12),E12/B12," - ")</f>
        <v>1192</v>
      </c>
      <c r="G12" s="451">
        <f>IF(ISNUMBER(IF(J_V="SI",Datos!K12,Datos!K12+Datos!AA12)),IF(J_V="SI",Datos!K12,Datos!K12+Datos!AA12)," - ")</f>
        <v>8484</v>
      </c>
      <c r="H12" s="452">
        <f>IF(ISNUMBER(G12/B12),G12/B12," - ")</f>
        <v>1060.5</v>
      </c>
      <c r="I12" s="451">
        <f>IF(ISNUMBER(IF(J_V="SI",Datos!L12,Datos!L12+Datos!AB12)),IF(J_V="SI",Datos!L12,Datos!L12+Datos!AB12)," - ")</f>
        <v>6070</v>
      </c>
      <c r="J12" s="452">
        <f>IF(ISNUMBER(I12/B12),I12/B12," - ")</f>
        <v>758.75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5039</v>
      </c>
      <c r="D14" s="1147" t="str">
        <f>IF(ISNUMBER(C14/Datos!BI14),C14/Datos!BI14," - ")</f>
        <v xml:space="preserve"> - </v>
      </c>
      <c r="E14" s="1146">
        <f>SUBTOTAL(9,E8:E13)</f>
        <v>9633</v>
      </c>
      <c r="F14" s="1147">
        <f>IF(ISNUMBER(E14/B14),E14/B14," - ")</f>
        <v>1070.3333333333333</v>
      </c>
      <c r="G14" s="1146">
        <f>SUBTOTAL(9,G8:G13)</f>
        <v>8571</v>
      </c>
      <c r="H14" s="1147">
        <f>IF(ISNUMBER(G14/B14),G14/B14," - ")</f>
        <v>952.33333333333337</v>
      </c>
      <c r="I14" s="1146">
        <f>SUBTOTAL(9,I8:I13)</f>
        <v>6128</v>
      </c>
      <c r="J14" s="1147">
        <f>IF(ISNUMBER(I14/B14),I14/B14," - ")</f>
        <v>680.88888888888891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2448</v>
      </c>
      <c r="D17" s="452">
        <f>IF(ISNUMBER(C17/Datos!BH17),C17/Datos!BH17," - ")</f>
        <v>306</v>
      </c>
      <c r="E17" s="451">
        <f>IF(ISNUMBER(IF(D_I="SI",Datos!J17,Datos!J17+Datos!AD17)),IF(D_I="SI",Datos!J17,Datos!J17+Datos!AD17)," - ")</f>
        <v>8905</v>
      </c>
      <c r="F17" s="452">
        <f>IF(ISNUMBER(E17/B17),E17/B17," - ")</f>
        <v>1113.125</v>
      </c>
      <c r="G17" s="451">
        <f>IF(ISNUMBER(IF(D_I="SI",Datos!K17,Datos!K17+Datos!AE17)),IF(D_I="SI",Datos!K17,Datos!K17+Datos!AE17)," - ")</f>
        <v>9108</v>
      </c>
      <c r="H17" s="452">
        <f>IF(ISNUMBER(G17/B17),G17/B17," - ")</f>
        <v>1138.5</v>
      </c>
      <c r="I17" s="451">
        <f>IF(ISNUMBER(IF(D_I="SI",Datos!L17,Datos!L17+Datos!AF17)),IF(D_I="SI",Datos!L17,Datos!L17+Datos!AF17)," - ")</f>
        <v>2193</v>
      </c>
      <c r="J17" s="452">
        <f>IF(ISNUMBER(I17/B17),I17/B17," - ")</f>
        <v>274.125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177</v>
      </c>
      <c r="D18" s="452">
        <f>IF(ISNUMBER(C18/Datos!BH18),C18/Datos!BH18," - ")</f>
        <v>177</v>
      </c>
      <c r="E18" s="451">
        <f>IF(ISNUMBER(IF(D_I="SI",Datos!J18,Datos!J18+Datos!AD18)),IF(D_I="SI",Datos!J18,Datos!J18+Datos!AD18)," - ")</f>
        <v>739</v>
      </c>
      <c r="F18" s="452">
        <f>IF(ISNUMBER(E18/B18),E18/B18," - ")</f>
        <v>739</v>
      </c>
      <c r="G18" s="451">
        <f>IF(ISNUMBER(IF(D_I="SI",Datos!K18,Datos!K18+Datos!AE18)),IF(D_I="SI",Datos!K18,Datos!K18+Datos!AE18)," - ")</f>
        <v>771</v>
      </c>
      <c r="H18" s="452">
        <f>IF(ISNUMBER(G18/B18),G18/B18," - ")</f>
        <v>771</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480</v>
      </c>
      <c r="D21" s="452">
        <f>IF(ISNUMBER(C21/Datos!BH21),C21/Datos!BH21," - ")</f>
        <v>160</v>
      </c>
      <c r="E21" s="451">
        <f>IF(ISNUMBER(Datos!J21),Datos!J21," - ")</f>
        <v>1142</v>
      </c>
      <c r="F21" s="452">
        <f>IF(ISNUMBER(E21/B21),E21/B21," - ")</f>
        <v>380.66666666666669</v>
      </c>
      <c r="G21" s="451">
        <f>IF(ISNUMBER(Datos!K21),Datos!K21," - ")</f>
        <v>1106</v>
      </c>
      <c r="H21" s="452">
        <f>IF(ISNUMBER(G21/B21),G21/B21," - ")</f>
        <v>368.66666666666669</v>
      </c>
      <c r="I21" s="451">
        <f>IF(ISNUMBER(Datos!L21),Datos!L21," - ")</f>
        <v>545</v>
      </c>
      <c r="J21" s="452">
        <f>IF(ISNUMBER(I21/B21),I21/B21," - ")</f>
        <v>181.66666666666666</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3105</v>
      </c>
      <c r="D23" s="1147" t="str">
        <f>IF(ISNUMBER(C23/Datos!BI23),C23/Datos!BI23," - ")</f>
        <v xml:space="preserve"> - </v>
      </c>
      <c r="E23" s="1146">
        <f>SUBTOTAL(9,E15:E22)</f>
        <v>10786</v>
      </c>
      <c r="F23" s="1147">
        <f>IF(ISNUMBER(E23/B23),E23/B23," - ")</f>
        <v>898.83333333333337</v>
      </c>
      <c r="G23" s="1146">
        <f>SUBTOTAL(9,G15:G22)</f>
        <v>10985</v>
      </c>
      <c r="H23" s="1147">
        <f>IF(ISNUMBER(G23/B23),G23/B23," - ")</f>
        <v>915.41666666666663</v>
      </c>
      <c r="I23" s="1146">
        <f>SUBTOTAL(9,I15:I22)</f>
        <v>2883</v>
      </c>
      <c r="J23" s="1147">
        <f>IF(ISNUMBER(I23/B23),I23/B23," - ")</f>
        <v>240.25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1190</v>
      </c>
      <c r="D28" s="452">
        <f>IF(ISNUMBER(C28/Datos!BH28),C28/Datos!BH28," - ")</f>
        <v>1190</v>
      </c>
      <c r="E28" s="451">
        <f>IF(ISNUMBER(Datos!J28),Datos!J28," - ")</f>
        <v>1092</v>
      </c>
      <c r="F28" s="452">
        <f>IF(ISNUMBER(E28/B28),E28/B28," - ")</f>
        <v>1092</v>
      </c>
      <c r="G28" s="451">
        <f>IF(ISNUMBER(Datos!K28),Datos!K28," - ")</f>
        <v>1083</v>
      </c>
      <c r="H28" s="452">
        <f>IF(ISNUMBER(G28/B28),G28/B28," - ")</f>
        <v>1083</v>
      </c>
      <c r="I28" s="451">
        <f>IF(ISNUMBER(Datos!L28),Datos!L28," - ")</f>
        <v>1209</v>
      </c>
      <c r="J28" s="452">
        <f>IF(ISNUMBER(I28/B28),I28/B28," - ")</f>
        <v>1209</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1190</v>
      </c>
      <c r="D30" s="1147" t="str">
        <f>IF(ISNUMBER(C30/Datos!BI30),C30/Datos!BI30," - ")</f>
        <v xml:space="preserve"> - </v>
      </c>
      <c r="E30" s="1146">
        <f>SUBTOTAL(9,E28:E29)</f>
        <v>1092</v>
      </c>
      <c r="F30" s="1147">
        <f>IF(ISNUMBER(E30/B30),E30/B30," - ")</f>
        <v>1092</v>
      </c>
      <c r="G30" s="1146">
        <f>SUBTOTAL(9,G28:G29)</f>
        <v>1083</v>
      </c>
      <c r="H30" s="1147">
        <f>IF(ISNUMBER(G30/B30),G30/B30," - ")</f>
        <v>1083</v>
      </c>
      <c r="I30" s="1146">
        <f>SUBTOTAL(9,I28:I29)</f>
        <v>1209</v>
      </c>
      <c r="J30" s="1147">
        <f>IF(ISNUMBER(I30/B30),I30/B30," - ")</f>
        <v>1209</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9334</v>
      </c>
      <c r="D31" s="1085" t="str">
        <f>IF(ISNUMBER(C31/Datos!BI31),C31/Datos!BI31," - ")</f>
        <v xml:space="preserve"> - </v>
      </c>
      <c r="E31" s="1084">
        <f>SUBTOTAL(9,E9:E30)</f>
        <v>21511</v>
      </c>
      <c r="F31" s="1085">
        <f>IF(ISNUMBER(E31/B31),E31/B31," - ")</f>
        <v>1654.6923076923076</v>
      </c>
      <c r="G31" s="1084">
        <f>SUBTOTAL(9,G9:G30)</f>
        <v>20639</v>
      </c>
      <c r="H31" s="1085">
        <f>IF(ISNUMBER(G31/B31),G31/B31," - ")</f>
        <v>1587.6153846153845</v>
      </c>
      <c r="I31" s="1084">
        <f>SUBTOTAL(9,I9:I30)</f>
        <v>10220</v>
      </c>
      <c r="J31" s="1085">
        <f>IF(ISNUMBER(I31/B31),I31/B31," - ")</f>
        <v>786.15384615384619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fTpYBlFnRLbxsGzDCNMaA0Z+zXAKURpUV6rjDfbjAKKmIEOykQ6dRI9S/DI/BhFbTswPcvMnECMMsks22xXDA==" saltValue="CJ3uz1zY625e66nxStx7/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MANRESA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48</v>
      </c>
      <c r="G10" s="906">
        <f>IF(ISNUMBER(Datos!I10),Datos!I10," - ")</f>
        <v>48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87</v>
      </c>
      <c r="AC10" s="905" t="str">
        <f>IF(ISNUMBER(IF(D_I="SI",DatosP!K18,DatosP!K18+DatosP!AE18)),IF(D_I="SI",DatosP!K18,DatosP!K18+DatosP!AE18)," - ")</f>
        <v xml:space="preserve"> - </v>
      </c>
      <c r="AD10" s="907"/>
      <c r="AE10" s="907"/>
      <c r="AF10" s="910">
        <f>IF(ISNUMBER(Datos!L10),Datos!L10,"-")</f>
        <v>58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38</v>
      </c>
      <c r="AM10" s="914">
        <f>IF(ISNUMBER(Datos!N10+DatosP!N18),Datos!N10+DatosP!N18," - ")</f>
        <v>59</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315</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1840</v>
      </c>
      <c r="AM12" s="914">
        <f>IF(ISNUMBER(Datos!N12+DatosP!N17),Datos!N12+DatosP!N17," - ")</f>
        <v>3507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7.8701084394153709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-3.1867356538099717E-2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48</v>
      </c>
      <c r="G14" s="1256">
        <f t="shared" si="0"/>
        <v>48</v>
      </c>
      <c r="H14" s="1256">
        <f t="shared" si="0"/>
        <v>0</v>
      </c>
      <c r="I14" s="1258">
        <f t="shared" si="0"/>
        <v>0</v>
      </c>
      <c r="J14" s="1257">
        <f t="shared" si="0"/>
        <v>0</v>
      </c>
      <c r="K14" s="1257">
        <f t="shared" si="0"/>
        <v>0</v>
      </c>
      <c r="L14" s="1259">
        <f t="shared" si="0"/>
        <v>0</v>
      </c>
      <c r="M14" s="1259">
        <f t="shared" si="0"/>
        <v>0</v>
      </c>
      <c r="N14" s="1257">
        <f t="shared" si="0"/>
        <v>2349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87</v>
      </c>
      <c r="AC14" s="1257">
        <f t="shared" si="1"/>
        <v>0</v>
      </c>
      <c r="AD14" s="1257">
        <f t="shared" si="1"/>
        <v>2583</v>
      </c>
      <c r="AE14" s="1257">
        <f t="shared" si="1"/>
        <v>0</v>
      </c>
      <c r="AF14" s="1257">
        <f t="shared" si="1"/>
        <v>58</v>
      </c>
      <c r="AG14" s="1257">
        <f t="shared" si="1"/>
        <v>0</v>
      </c>
      <c r="AH14" s="1257">
        <f t="shared" si="1"/>
        <v>8233</v>
      </c>
      <c r="AI14" s="1257">
        <f t="shared" si="1"/>
        <v>0</v>
      </c>
      <c r="AJ14" s="1257">
        <f t="shared" si="1"/>
        <v>0</v>
      </c>
      <c r="AK14" s="1257">
        <f t="shared" si="1"/>
        <v>0</v>
      </c>
      <c r="AL14" s="1257">
        <f t="shared" si="1"/>
        <v>1878</v>
      </c>
      <c r="AM14" s="1257">
        <f t="shared" si="1"/>
        <v>3566</v>
      </c>
      <c r="AN14" s="1257">
        <f t="shared" si="1"/>
        <v>0</v>
      </c>
      <c r="AO14" s="1257">
        <f t="shared" si="1"/>
        <v>0</v>
      </c>
      <c r="AP14" s="1262">
        <f>IF(ISNUMBER(((Datos!L14/Datos!K14)*11)/factor_trimestre),((Datos!L14/Datos!K14)*11)/factor_trimestre," - ")</f>
        <v>8.2630136986301359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-1.8125</v>
      </c>
      <c r="AU14" s="1257" t="str">
        <f>IF(ISNUMBER((DatosP!#REF!-DatosP!#REF!+DatosP!#REF!)/(DatosP!#REF!+DatosP!#REF!-DatosP!#REF!-DatosP!#REF!)),(DatosP!#REF!-DatosP!#REF!+DatosP!#REF!)/(DatosP!#REF!+DatosP!#REF!-DatosP!#REF!-DatosP!#REF!)," - ")</f>
        <v xml:space="preserve"> - </v>
      </c>
      <c r="AV14" s="1263">
        <f>SUBTOTAL(9,AV9:AV13)</f>
        <v>-3.1867356538099717E-2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2.8869367319071464</v>
      </c>
      <c r="AQ23" s="1262">
        <f>IF(ISNUMBER(((Datos!M23/Datos!L23)*11)/factor_trimestre),((Datos!M23/Datos!L23)*11)/factor_trimestre," - ")</f>
        <v>8.4283732223378429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-1.8633540372670808E-2</v>
      </c>
      <c r="AW23" s="1265">
        <f>IF(ISNUMBER((Datos!Q23-Datos!R23)/(Datos!S23-Datos!Q23+Datos!R23)),(Datos!Q23-Datos!R23)/(Datos!S23-Datos!Q23+Datos!R23)," - ")</f>
        <v>-0.36044520547945208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12.279778393351801</v>
      </c>
      <c r="AQ30" s="1262">
        <f>IF(ISNUMBER(((Datos!M30/Datos!L30)*11)/factor_trimestre),((Datos!M30/Datos!L30)*11)/factor_trimestre," - ")</f>
        <v>3.2845326716294458</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-0.76470588235294112</v>
      </c>
      <c r="AW30" s="1265">
        <f>IF(ISNUMBER((Datos!Q30-Datos!R30)/(Datos!S30-Datos!Q30+Datos!R30)),(Datos!Q30-Datos!R30)/(Datos!S30-Datos!Q30+Datos!R30)," - ")</f>
        <v>4.5639771801140996E-2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48</v>
      </c>
      <c r="G31" s="1278">
        <f t="shared" si="8"/>
        <v>48</v>
      </c>
      <c r="H31" s="1278">
        <f t="shared" si="8"/>
        <v>0</v>
      </c>
      <c r="I31" s="1279">
        <f t="shared" si="8"/>
        <v>0</v>
      </c>
      <c r="J31" s="1280">
        <f t="shared" si="8"/>
        <v>0</v>
      </c>
      <c r="K31" s="1280">
        <f t="shared" si="8"/>
        <v>0</v>
      </c>
      <c r="L31" s="1280">
        <f t="shared" si="8"/>
        <v>0</v>
      </c>
      <c r="M31" s="1280">
        <f t="shared" si="8"/>
        <v>0</v>
      </c>
      <c r="N31" s="1279">
        <f t="shared" si="8"/>
        <v>2349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87</v>
      </c>
      <c r="AC31" s="1284">
        <f t="shared" si="9"/>
        <v>0</v>
      </c>
      <c r="AD31" s="1284">
        <f t="shared" si="9"/>
        <v>2583</v>
      </c>
      <c r="AE31" s="1284">
        <f t="shared" si="9"/>
        <v>0</v>
      </c>
      <c r="AF31" s="1285">
        <f t="shared" si="9"/>
        <v>58</v>
      </c>
      <c r="AG31" s="1285">
        <f t="shared" si="9"/>
        <v>0</v>
      </c>
      <c r="AH31" s="1285">
        <f t="shared" si="9"/>
        <v>8233</v>
      </c>
      <c r="AI31" s="1285">
        <f t="shared" si="9"/>
        <v>0</v>
      </c>
      <c r="AJ31" s="1286">
        <f t="shared" si="9"/>
        <v>0</v>
      </c>
      <c r="AK31" s="1286">
        <f t="shared" si="9"/>
        <v>0</v>
      </c>
      <c r="AL31" s="1278">
        <f t="shared" si="9"/>
        <v>1878</v>
      </c>
      <c r="AM31" s="1278">
        <f t="shared" si="9"/>
        <v>3566</v>
      </c>
      <c r="AN31" s="1278">
        <f t="shared" si="9"/>
        <v>0</v>
      </c>
      <c r="AO31" s="1278">
        <f t="shared" si="9"/>
        <v>0</v>
      </c>
      <c r="AP31" s="1278">
        <f>IF(ISNUMBER(((Datos!L31/Datos!K31)*11)/factor_trimestre),((Datos!L31/Datos!K31)*11)/factor_trimestre," - ")</f>
        <v>5.5410488605831434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-2.9762380990479238E-2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3.7080992435478315</v>
      </c>
      <c r="F33" s="1006">
        <f>IF(ISNUMBER(STDEV(F8:F30)),STDEV(F8:F30),"-")</f>
        <v>26.290682760247975</v>
      </c>
      <c r="G33" s="1007">
        <f>IF(ISNUMBER(STDEV(G8:G30)),STDEV(G8:G30),"-")</f>
        <v>26.290682760247975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47.651862502949449</v>
      </c>
      <c r="AC33" s="1008">
        <f>IF(ISNUMBER(STDEV(AC8:AC30)),STDEV(AC8:AC30),"-")</f>
        <v>0</v>
      </c>
      <c r="AD33" s="1011"/>
      <c r="AE33" s="1011"/>
      <c r="AF33" s="1011"/>
      <c r="AG33" s="1011"/>
      <c r="AH33" s="1011"/>
      <c r="AI33" s="1011"/>
      <c r="AJ33" s="1012">
        <f>IF(ISNUMBER(STDEV(AJ8:AJ30)),STDEV(AJ8:AJ30),"-")</f>
        <v>0</v>
      </c>
      <c r="AK33" s="1014"/>
      <c r="AL33" s="1006">
        <f>IF(ISNUMBER(STDEV(AL8:AL30)),STDEV(AL8:AL30),"-")</f>
        <v>955.26666434038202</v>
      </c>
      <c r="AM33" s="1006"/>
      <c r="AN33" s="1006">
        <f>IF(ISNUMBER(STDEV(AN8:AN30)),STDEV(AN8:AN30),"-")</f>
        <v>0</v>
      </c>
      <c r="AO33" s="1012">
        <f>IF(ISNUMBER(STDEV(AO8:AO30)),STDEV(AO8:AO30),"-")</f>
        <v>0</v>
      </c>
      <c r="AP33" s="1065">
        <f>IF(ISNUMBER(STDEV(AP8:AP30)),STDEV(AP8:AP30),"-")</f>
        <v>3.3397891783675848</v>
      </c>
      <c r="AQ33" s="1065">
        <f>IF(ISNUMBER(STDEV(AQ8:AQ30)),STDEV(AQ8:AQ30),"-")</f>
        <v>3.6372445347482532</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IeWYsWYF443cONgpmgrJ+3rk6q1AmUurr9hauUK3zYCT5vLxSyYmgSbIU0MbGs4TSVnnDp8e76la2wbfCGxgFQ==" saltValue="NVMu7f0PevOvC8DM7QFP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MANRESA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Yw8sRb+4KB+4s90+fQhpKPKTf8ZrmBra7vTUWfsdKyp5z+3Pv7sM4zSq8LacobZHg5ejyLQ7RjTO3vHYDXkCw==" saltValue="ZTaAxirxurN5Xxg0LSzs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MANRESA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38</v>
      </c>
      <c r="E10" s="452">
        <f>IF(ISNUMBER(D10/B10),D10/B10," - ")</f>
        <v>38</v>
      </c>
      <c r="F10" s="451">
        <f>IF(ISNUMBER(Datos!N10),Datos!N10," - ")</f>
        <v>59</v>
      </c>
      <c r="G10" s="452">
        <f>IF(ISNUMBER(F10/B10),F10/B10," - ")</f>
        <v>59</v>
      </c>
      <c r="H10" s="451">
        <f>IF(ISNUMBER(Datos!O10),Datos!O10," - ")</f>
        <v>17</v>
      </c>
      <c r="I10" s="452">
        <f t="shared" ref="I10:I13" si="2">IF(ISNUMBER(H10/B10),H10/B10," - ")</f>
        <v>17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1840</v>
      </c>
      <c r="E12" s="452">
        <f t="shared" si="0"/>
        <v>230</v>
      </c>
      <c r="F12" s="451">
        <f>IF(ISNUMBER(Datos!N12),Datos!N12," - ")</f>
        <v>3507</v>
      </c>
      <c r="G12" s="452">
        <f t="shared" si="1"/>
        <v>438.375</v>
      </c>
      <c r="H12" s="451">
        <f>IF(ISNUMBER(Datos!O12),Datos!O12," - ")</f>
        <v>3983</v>
      </c>
      <c r="I12" s="452">
        <f t="shared" si="2"/>
        <v>497.875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1878</v>
      </c>
      <c r="E14" s="1147">
        <f t="shared" si="0"/>
        <v>208.66666666666666</v>
      </c>
      <c r="F14" s="1146">
        <f>SUBTOTAL(9,F9:F13)</f>
        <v>3566</v>
      </c>
      <c r="G14" s="1147">
        <f t="shared" si="1"/>
        <v>396.22222222222223</v>
      </c>
      <c r="H14" s="1146">
        <f>SUBTOTAL(9,H9:H13)</f>
        <v>4000</v>
      </c>
      <c r="I14" s="1147">
        <f>IF(ISNUMBER(H14/B14),H14/B14," - ")</f>
        <v>444.44444444444446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1143</v>
      </c>
      <c r="E17" s="452">
        <f t="shared" si="3"/>
        <v>142.875</v>
      </c>
      <c r="F17" s="451">
        <f>IF(ISNUMBER(Datos!N17),Datos!N17," - ")</f>
        <v>6307</v>
      </c>
      <c r="G17" s="452">
        <f t="shared" si="4"/>
        <v>788.375</v>
      </c>
      <c r="H17" s="451">
        <f>IF(ISNUMBER(Datos!O17),Datos!O17," - ")</f>
        <v>82</v>
      </c>
      <c r="I17" s="452">
        <f t="shared" si="5"/>
        <v>10.25</v>
      </c>
    </row>
    <row r="18" spans="1:9">
      <c r="A18" s="450" t="str">
        <f>Datos!A18</f>
        <v>Jdos. Violencia contra la mujer</v>
      </c>
      <c r="B18" s="480">
        <f>Datos!AO18</f>
        <v>1</v>
      </c>
      <c r="C18" s="481">
        <f>Datos!AQ18</f>
        <v>1</v>
      </c>
      <c r="D18" s="451">
        <f>IF(ISNUMBER(Datos!M18),Datos!M18," - ")</f>
        <v>64</v>
      </c>
      <c r="E18" s="452">
        <f>IF(ISNUMBER(D18/B18),D18/B18," - ")</f>
        <v>64</v>
      </c>
      <c r="F18" s="451">
        <f>IF(ISNUMBER(Datos!N18),Datos!N18," - ")</f>
        <v>477</v>
      </c>
      <c r="G18" s="452">
        <f>IF(ISNUMBER(F18/B18),F18/B18," - ")</f>
        <v>477</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1002</v>
      </c>
      <c r="E21" s="452">
        <f t="shared" si="3"/>
        <v>334</v>
      </c>
      <c r="F21" s="451">
        <f>IF(ISNUMBER(Datos!N21),Datos!N21," - ")</f>
        <v>600</v>
      </c>
      <c r="G21" s="452">
        <f t="shared" si="4"/>
        <v>200</v>
      </c>
      <c r="H21" s="451">
        <f>IF(ISNUMBER(Datos!O21),Datos!O21," - ")</f>
        <v>722</v>
      </c>
      <c r="I21" s="452">
        <f t="shared" si="5"/>
        <v>240.66666666666666</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2209</v>
      </c>
      <c r="E23" s="1147">
        <f t="shared" si="3"/>
        <v>184.08333333333334</v>
      </c>
      <c r="F23" s="1146">
        <f>SUBTOTAL(9,F16:F22)</f>
        <v>7384</v>
      </c>
      <c r="G23" s="1147">
        <f t="shared" si="4"/>
        <v>615.33333333333337</v>
      </c>
      <c r="H23" s="1146">
        <f>SUBTOTAL(9,H16:H22)</f>
        <v>812</v>
      </c>
      <c r="I23" s="1147">
        <f>IF(ISNUMBER(H23/B23),H23/B23," - ")</f>
        <v>67.666666666666671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361</v>
      </c>
      <c r="E28" s="452">
        <f t="shared" ref="E28:E30" si="9">IF(ISNUMBER(D28/B28),D28/B28," - ")</f>
        <v>361</v>
      </c>
      <c r="F28" s="451">
        <f>IF(ISNUMBER(Datos!N28),Datos!N28," - ")</f>
        <v>67</v>
      </c>
      <c r="G28" s="452">
        <f t="shared" ref="G28:G30" si="10">IF(ISNUMBER(F28/B28),F28/B28," - ")</f>
        <v>67</v>
      </c>
      <c r="H28" s="451">
        <f>IF(ISNUMBER(Datos!O28),Datos!O28," - ")</f>
        <v>606</v>
      </c>
      <c r="I28" s="452">
        <f t="shared" ref="I28:I30" si="11">IF(ISNUMBER(H28/B28),H28/B28," - ")</f>
        <v>606</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361</v>
      </c>
      <c r="E30" s="1147">
        <f t="shared" si="9"/>
        <v>361</v>
      </c>
      <c r="F30" s="1146">
        <f>SUBTOTAL(9,F28:F29)</f>
        <v>67</v>
      </c>
      <c r="G30" s="1147">
        <f t="shared" si="10"/>
        <v>67</v>
      </c>
      <c r="H30" s="1146">
        <f>SUBTOTAL(9,H28:H29)</f>
        <v>606</v>
      </c>
      <c r="I30" s="1147">
        <f t="shared" si="11"/>
        <v>606</v>
      </c>
    </row>
    <row r="31" spans="1:9" ht="14.25" thickTop="1" thickBot="1">
      <c r="A31" s="1083" t="str">
        <f>Datos!A31</f>
        <v>TOTAL JURISDICCIONES</v>
      </c>
      <c r="B31" s="1084">
        <f>Datos!AP31</f>
        <v>13</v>
      </c>
      <c r="C31" s="1084">
        <f>Datos!AR31</f>
        <v>13</v>
      </c>
      <c r="D31" s="1084">
        <f>SUBTOTAL(9,D8:D30)</f>
        <v>4448</v>
      </c>
      <c r="E31" s="1085">
        <f>IF(ISNUMBER(D31/B31),D31/B31," - ")</f>
        <v>342.15384615384613</v>
      </c>
      <c r="F31" s="1084">
        <f>SUBTOTAL(9,F8:F30)</f>
        <v>11017</v>
      </c>
      <c r="G31" s="1085">
        <f>IF(ISNUMBER(F31/B31),F31/B31," - ")</f>
        <v>847.46153846153845</v>
      </c>
      <c r="H31" s="1084">
        <f>SUBTOTAL(9,H8:H30)</f>
        <v>5418</v>
      </c>
      <c r="I31" s="1085">
        <f>IF(ISNUMBER(H31/B31),H31/B31," - ")</f>
        <v>416.76923076923077</v>
      </c>
    </row>
    <row r="34" spans="1:1">
      <c r="A34" s="439" t="str">
        <f>Criterios!A4</f>
        <v>Fecha Informe: 14 abr. 2023</v>
      </c>
    </row>
    <row r="39" spans="1:1">
      <c r="A39" s="462"/>
    </row>
  </sheetData>
  <sheetProtection algorithmName="SHA-512" hashValue="ghEeB7TU28WF2646QQ5PX1XKRXp0D2d6fKKpV4zvXttqBrxFst+UlSnAY1R9P6zp/7iNohSERNHFGnUY/kIqTw==" saltValue="yM+ixf+qDZ8TiuD22f0p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BARCELONA</v>
      </c>
    </row>
    <row r="4" spans="1:4" ht="13.5" thickBot="1">
      <c r="B4" s="439" t="str">
        <f>Criterios!A11 &amp;"  "&amp;Criterios!B11</f>
        <v>Resumenes por Partidos Judiciales  MANRESA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37</v>
      </c>
      <c r="C10" s="489">
        <f>IF(ISNUMBER(Datos!Q10),Datos!Q10," - ")</f>
        <v>40</v>
      </c>
      <c r="D10" s="456">
        <f>IF(ISNUMBER(Datos!R10),Datos!R10," - ")</f>
        <v>94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2312</v>
      </c>
      <c r="C12" s="489">
        <f>IF(ISNUMBER(Datos!Q12),Datos!Q12," - ")</f>
        <v>2583</v>
      </c>
      <c r="D12" s="456">
        <f>IF(ISNUMBER(Datos!R12),Datos!R12," - ")</f>
        <v>8233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2349</v>
      </c>
      <c r="C14" s="1150">
        <f>SUBTOTAL(9,C9:C13)</f>
        <v>2623</v>
      </c>
      <c r="D14" s="1148">
        <f>SUBTOTAL(9,D9:D13)</f>
        <v>8327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193</v>
      </c>
      <c r="C17" s="489">
        <f>IF(ISNUMBER(Datos!Q17),Datos!Q17," - ")</f>
        <v>126</v>
      </c>
      <c r="D17" s="456">
        <f>IF(ISNUMBER(Datos!R17),Datos!R17," - ")</f>
        <v>322</v>
      </c>
    </row>
    <row r="18" spans="1:4">
      <c r="A18" s="450" t="str">
        <f>Datos!A18</f>
        <v>Jdos. Violencia contra la mujer</v>
      </c>
      <c r="B18" s="488">
        <f>IF(ISNUMBER(Datos!P18),Datos!P18," - ")</f>
        <v>7</v>
      </c>
      <c r="C18" s="489">
        <f>IF(ISNUMBER(Datos!Q18),Datos!Q18," - ")</f>
        <v>10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1836</v>
      </c>
      <c r="C21" s="489">
        <f>IF(ISNUMBER(Datos!Q21),Datos!Q21," - ")</f>
        <v>1972</v>
      </c>
      <c r="D21" s="456">
        <f>IF(ISNUMBER(Datos!R21),Datos!R21," - ")</f>
        <v>3468</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2036</v>
      </c>
      <c r="C23" s="1150">
        <f>SUBTOTAL(9,C16:C22)</f>
        <v>2108</v>
      </c>
      <c r="D23" s="1148">
        <f>SUBTOTAL(9,D16:D22)</f>
        <v>3792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38</v>
      </c>
      <c r="C28" s="489">
        <f>IF(ISNUMBER(Datos!Q28),Datos!Q28," - ")</f>
        <v>64</v>
      </c>
      <c r="D28" s="456">
        <f>IF(ISNUMBER(Datos!R28),Datos!R28," - ")</f>
        <v>8</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38</v>
      </c>
      <c r="C30" s="1150">
        <f>SUBTOTAL(9,C28:C29)</f>
        <v>64</v>
      </c>
      <c r="D30" s="1148">
        <f>SUBTOTAL(9,D28:D29)</f>
        <v>8</v>
      </c>
    </row>
    <row r="31" spans="1:4" ht="16.5" customHeight="1" thickTop="1" thickBot="1">
      <c r="A31" s="1083" t="str">
        <f>Datos!A31</f>
        <v>TOTAL JURISDICCIONES</v>
      </c>
      <c r="B31" s="1088">
        <f>SUBTOTAL(9,B8:B30)</f>
        <v>4423</v>
      </c>
      <c r="C31" s="1089">
        <f>SUBTOTAL(9,C8:C30)</f>
        <v>4795</v>
      </c>
      <c r="D31" s="1090">
        <f>SUBTOTAL(9,D8:D30)</f>
        <v>12127</v>
      </c>
    </row>
    <row r="32" spans="1:4" ht="7.5" customHeight="1"/>
    <row r="33" spans="1:1" ht="6" customHeight="1"/>
    <row r="34" spans="1:1">
      <c r="A34" s="439" t="str">
        <f>Criterios!A4</f>
        <v>Fecha Informe: 14 abr. 2023</v>
      </c>
    </row>
    <row r="39" spans="1:1">
      <c r="A39" s="462"/>
    </row>
  </sheetData>
  <sheetProtection algorithmName="SHA-512" hashValue="/k2UARPixpnVJ/+rC114nufhgTbUnoLHRtBNw/GW/Yvsf1GWbcqHupmvJ9vyHtj1v5N6pffBqj5Ta+QGI7OYGg==" saltValue="OHY2QkQuLM1hK4atuAU6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BARCELONA</v>
      </c>
    </row>
    <row r="4" spans="1:11" ht="10.5" customHeight="1" thickBot="1">
      <c r="B4" s="439" t="str">
        <f>Criterios!A11 &amp;"  "&amp;Criterios!B11</f>
        <v>Resumenes por Partidos Judiciales  MANRESA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-0.21311475409836064</v>
      </c>
      <c r="C10" s="515">
        <f>IF(ISNUMBER((Datos!J10-Datos!T10)/Datos!T10),(Datos!J10-Datos!T10)/Datos!T10," - ")</f>
        <v>-0.17796610169491525</v>
      </c>
      <c r="D10" s="515">
        <f>IF(ISNUMBER((Datos!K10-Datos!U10)/Datos!U10),(Datos!K10-Datos!U10)/Datos!U10," - ")</f>
        <v>-0.33587786259541985</v>
      </c>
      <c r="E10" s="515">
        <f>IF(ISNUMBER((Datos!L10-Datos!V10)/Datos!V10),(Datos!L10-Datos!V10)/Datos!V10," - ")</f>
        <v>0.20833333333333334</v>
      </c>
      <c r="F10" s="515">
        <f>IF(ISNUMBER((Datos!M10-Datos!W10)/Datos!W10),(Datos!M10-Datos!W10)/Datos!W10," - ")</f>
        <v>-0.26923076923076922</v>
      </c>
      <c r="G10" s="516">
        <f>IF(ISNUMBER((Datos!N10-Datos!X10)/Datos!X10),(Datos!N10-Datos!X10)/Datos!X10," - ")</f>
        <v>7.2727272727272724E-2</v>
      </c>
      <c r="H10" s="514">
        <f>IF(ISNUMBER(((NºAsuntos!G10/NºAsuntos!E10)-Datos!BD10)/Datos!BD10),((NºAsuntos!G10/NºAsuntos!E10)-Datos!BD10)/Datos!BD10," - ")</f>
        <v>-0.19209884315731479</v>
      </c>
      <c r="I10" s="515">
        <f>IF(ISNUMBER(((NºAsuntos!I10/NºAsuntos!G10)-Datos!BE10)/Datos!BE10),((NºAsuntos!I10/NºAsuntos!G10)-Datos!BE10)/Datos!BE10," - ")</f>
        <v>0.81944444444444431</v>
      </c>
      <c r="J10" s="521">
        <f>IF(ISNUMBER((('Resol  Asuntos'!D10/NºAsuntos!G10)-Datos!BF10)/Datos!BF10),(('Resol  Asuntos'!D10/NºAsuntos!G10)-Datos!BF10)/Datos!BF10," - ")</f>
        <v>0.10035366931918663</v>
      </c>
      <c r="K10" s="522">
        <f>IF(ISNUMBER((((NºAsuntos!C10+NºAsuntos!E10)/NºAsuntos!G10)-Datos!BG10)/Datos!BG10),(((NºAsuntos!C10+NºAsuntos!E10)/NºAsuntos!G10)-Datos!BG10)/Datos!BG10," - ")</f>
        <v>0.21973929236499079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5.1179443976411124E-2</v>
      </c>
      <c r="C12" s="515">
        <f>IF(ISNUMBER(
   IF(J_V="SI",(Datos!J12-Datos!T12)/Datos!T12,(Datos!J12+Datos!Z12-(Datos!T12+Datos!AH12))/(Datos!T12+Datos!AH12))
     ),IF(J_V="SI",(Datos!J12-Datos!T12)/Datos!T12,(Datos!J12+Datos!Z12-(Datos!T12+Datos!AH12))/(Datos!T12+Datos!AH12))," - ")</f>
        <v>0.15925115487478725</v>
      </c>
      <c r="D12" s="515">
        <f>IF(ISNUMBER(
   IF(J_V="SI",(Datos!K12-Datos!U12)/Datos!U12,(Datos!K12+Datos!AA12-(Datos!U12+Datos!AI12))/(Datos!U12+Datos!AI12))
     ),IF(J_V="SI",(Datos!K12-Datos!U12)/Datos!U12,(Datos!K12+Datos!AA12-(Datos!U12+Datos!AI12))/(Datos!U12+Datos!AI12))," - ")</f>
        <v>3.9323778022785742E-2</v>
      </c>
      <c r="E12" s="515">
        <f>IF(ISNUMBER(
   IF(J_V="SI",(Datos!L12-Datos!V12)/Datos!V12,(Datos!L12+Datos!AB12-(Datos!V12+Datos!AJ12))/(Datos!V12+Datos!AJ12))
     ),IF(J_V="SI",(Datos!L12-Datos!V12)/Datos!V12,(Datos!L12+Datos!AB12-(Datos!V12+Datos!AJ12))/(Datos!V12+Datos!AJ12))," - ")</f>
        <v>0.21618914045281507</v>
      </c>
      <c r="F12" s="515">
        <f>IF(ISNUMBER((Datos!M12-Datos!W12)/Datos!W12),(Datos!M12-Datos!W12)/Datos!W12," - ")</f>
        <v>5.0828098229583098E-2</v>
      </c>
      <c r="G12" s="516">
        <f>IF(ISNUMBER((Datos!N12-Datos!X12)/Datos!X12),(Datos!N12-Datos!X12)/Datos!X12," - ")</f>
        <v>0.19123641304347827</v>
      </c>
      <c r="H12" s="514">
        <f>IF(ISNUMBER(((NºAsuntos!G12/NºAsuntos!E12)-Datos!BD12)/Datos!BD12),((NºAsuntos!G12/NºAsuntos!E12)-Datos!BD12)/Datos!BD12," - ")</f>
        <v>-0.10345245406717324</v>
      </c>
      <c r="I12" s="515">
        <f>IF(ISNUMBER(((NºAsuntos!I12/NºAsuntos!G12)-Datos!BE12)/Datos!BE12),((NºAsuntos!I12/NºAsuntos!G12)-Datos!BE12)/Datos!BE12," - ")</f>
        <v>0.17017349758561168</v>
      </c>
      <c r="J12" s="521">
        <f>IF(ISNUMBER((('Resol  Asuntos'!D12/NºAsuntos!G12)-Datos!BF12)/Datos!BF12),(('Resol  Asuntos'!D12/NºAsuntos!G12)-Datos!BF12)/Datos!BF12," - ")</f>
        <v>-0.39864745403111734</v>
      </c>
      <c r="K12" s="522">
        <f>IF(ISNUMBER((((NºAsuntos!C12+NºAsuntos!E12)/NºAsuntos!G12)-Datos!BG12)/Datos!BG12),(((NºAsuntos!C12+NºAsuntos!E12)/NºAsuntos!G12)-Datos!BG12)/Datos!BG12," - ")</f>
        <v>7.7336017917676234E-2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4.7826991058432106E-2</v>
      </c>
      <c r="C14" s="1152">
        <f>IF(ISNUMBER(
   IF(J_V="SI",(Datos!J14-Datos!T14)/Datos!T14,(Datos!J14+Datos!Z14-(Datos!T14+Datos!AH14))/(Datos!T14+Datos!AH14))
     ),IF(J_V="SI",(Datos!J14-Datos!T14)/Datos!T14,(Datos!J14+Datos!Z14-(Datos!T14+Datos!AH14))/(Datos!T14+Datos!AH14))," - ")</f>
        <v>0.15448226270373921</v>
      </c>
      <c r="D14" s="1152">
        <f>IF(ISNUMBER(
   IF(J_V="SI",(Datos!K14-Datos!U14)/Datos!U14,(Datos!K14+Datos!AA14-(Datos!U14+Datos!AI14))/(Datos!U14+Datos!AI14))
     ),IF(J_V="SI",(Datos!K14-Datos!U14)/Datos!U14,(Datos!K14+Datos!AA14-(Datos!U14+Datos!AI14))/(Datos!U14+Datos!AI14))," - ")</f>
        <v>3.3397636845912709E-2</v>
      </c>
      <c r="E14" s="1152">
        <f>IF(ISNUMBER(
   IF(J_V="SI",(Datos!L14-Datos!V14)/Datos!V14,(Datos!L14+Datos!AB14-(Datos!V14+Datos!AJ14))/(Datos!V14+Datos!AJ14))
     ),IF(J_V="SI",(Datos!L14-Datos!V14)/Datos!V14,(Datos!L14+Datos!AB14-(Datos!V14+Datos!AJ14))/(Datos!V14+Datos!AJ14))," - ")</f>
        <v>0.21611430839452273</v>
      </c>
      <c r="F14" s="1153">
        <f>IF(ISNUMBER((Datos!M14-Datos!W14)/Datos!W14),(Datos!M14-Datos!W14)/Datos!W14," - ")</f>
        <v>4.1597337770382693E-2</v>
      </c>
      <c r="G14" s="1154">
        <f>IF(ISNUMBER((Datos!N14-Datos!X14)/Datos!X14),(Datos!N14-Datos!X14)/Datos!X14," - ")</f>
        <v>0.18906302100700234</v>
      </c>
      <c r="H14" s="1154">
        <f>IF(ISNUMBER(((NºAsuntos!G14/NºAsuntos!E14)-Datos!BD14)/Datos!BD14),((NºAsuntos!G14/NºAsuntos!E14)-Datos!BD14)/Datos!BD14," - ")</f>
        <v>-0.10488218811976584</v>
      </c>
      <c r="I14" s="1154">
        <f>IF(ISNUMBER(((NºAsuntos!I14/NºAsuntos!G14)-Datos!BE14)/Datos!BE14),((NºAsuntos!I14/NºAsuntos!G14)-Datos!BE14)/Datos!BE14," - ")</f>
        <v>0.17681158252527948</v>
      </c>
      <c r="J14" s="1154">
        <f>IF(ISNUMBER((('Resol  Asuntos'!D14/NºAsuntos!G14)-Datos!BF14)/Datos!BF14),(('Resol  Asuntos'!D14/NºAsuntos!G14)-Datos!BF14)/Datos!BF14," - ")</f>
        <v>-0.39342247486206089</v>
      </c>
      <c r="K14" s="1154">
        <f>IF(ISNUMBER((((NºAsuntos!C14+NºAsuntos!E14)/NºAsuntos!G14)-Datos!BG14)/Datos!BG14),(((NºAsuntos!C14+NºAsuntos!E14)/NºAsuntos!G14)-Datos!BG14)/Datos!BG14," - ")</f>
        <v>7.9436338323923578E-2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1.7033651848774409E-2</v>
      </c>
      <c r="C17" s="515">
        <f>IF(ISNUMBER(
   IF(D_I="SI",(Datos!J17-Datos!T17)/Datos!T17,(Datos!J17+Datos!AD17-(Datos!T17+Datos!AL17))/(Datos!T17+Datos!AL17))
     ),IF(D_I="SI",(Datos!J17-Datos!T17)/Datos!T17,(Datos!J17+Datos!AD17-(Datos!T17+Datos!AL17))/(Datos!T17+Datos!AL17))," - ")</f>
        <v>3.9817842129845869E-2</v>
      </c>
      <c r="D17" s="515">
        <f>IF(ISNUMBER(
   IF(D_I="SI",(Datos!K17-Datos!U17)/Datos!U17,(Datos!K17+Datos!AE17-(Datos!U17+Datos!AM17))/(Datos!U17+Datos!AM17))
     ),IF(D_I="SI",(Datos!K17-Datos!U17)/Datos!U17,(Datos!K17+Datos!AE17-(Datos!U17+Datos!AM17))/(Datos!U17+Datos!AM17))," - ")</f>
        <v>5.8331396699976758E-2</v>
      </c>
      <c r="E17" s="515">
        <f>IF(ISNUMBER(
   IF(D_I="SI",(Datos!L17-Datos!V17)/Datos!V17,(Datos!L17+Datos!AF17-(Datos!V17+Datos!AN17))/(Datos!V17+Datos!AN17))
     ),IF(D_I="SI",(Datos!L17-Datos!V17)/Datos!V17,(Datos!L17+Datos!AF17-(Datos!V17+Datos!AN17))/(Datos!V17+Datos!AN17))," - ")</f>
        <v>-0.10416666666666667</v>
      </c>
      <c r="F17" s="515">
        <f>IF(ISNUMBER((Datos!M17-Datos!W17)/Datos!W17),(Datos!M17-Datos!W17)/Datos!W17," - ")</f>
        <v>4.288321167883212E-2</v>
      </c>
      <c r="G17" s="516">
        <f>IF(ISNUMBER((Datos!N17-Datos!X17)/Datos!X17),(Datos!N17-Datos!X17)/Datos!X17," - ")</f>
        <v>0.1458938953488372</v>
      </c>
      <c r="H17" s="514">
        <f>IF(ISNUMBER(((NºAsuntos!G17/NºAsuntos!E17)-Datos!BD17)/Datos!BD17),((NºAsuntos!G17/NºAsuntos!E17)-Datos!BD17)/Datos!BD17," - ")</f>
        <v>1.7804613289006305E-2</v>
      </c>
      <c r="I17" s="515">
        <f>IF(ISNUMBER(((NºAsuntos!I17/NºAsuntos!G17)-Datos!BE17)/Datos!BE17),((NºAsuntos!I17/NºAsuntos!G17)-Datos!BE17)/Datos!BE17," - ")</f>
        <v>-0.15354175816132334</v>
      </c>
      <c r="J17" s="521">
        <f>IF(ISNUMBER((('Resol  Asuntos'!D17/NºAsuntos!G17)-Datos!BF17)/Datos!BF17),(('Resol  Asuntos'!D17/NºAsuntos!G17)-Datos!BF17)/Datos!BF17," - ")</f>
        <v>-1.4596736966619539E-2</v>
      </c>
      <c r="K17" s="522">
        <f>IF(ISNUMBER((((NºAsuntos!C17+NºAsuntos!E17)/NºAsuntos!G17)-Datos!BG17)/Datos!BG17),(((NºAsuntos!C17+NºAsuntos!E17)/NºAsuntos!G17)-Datos!BG17)/Datos!BG17," - ")</f>
        <v>-2.2216413800154315E-2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-6.8421052631578952E-2</v>
      </c>
      <c r="C18" s="515">
        <f>IF(ISNUMBER(
   IF(D_I="SI",(Datos!J18-Datos!T18)/Datos!T18,(Datos!J18+Datos!AD18-(Datos!T18+Datos!AL18))/(Datos!T18+Datos!AL18))
     ),IF(D_I="SI",(Datos!J18-Datos!T18)/Datos!T18,(Datos!J18+Datos!AD18-(Datos!T18+Datos!AL18))/(Datos!T18+Datos!AL18))," - ")</f>
        <v>-4.3984476067270378E-2</v>
      </c>
      <c r="D18" s="515">
        <f>IF(ISNUMBER(
   IF(D_I="SI",(Datos!K18-Datos!U18)/Datos!U18,(Datos!K18+Datos!AE18-(Datos!U18+Datos!AM18))/(Datos!U18+Datos!AM18))
     ),IF(D_I="SI",(Datos!K18-Datos!U18)/Datos!U18,(Datos!K18+Datos!AE18-(Datos!U18+Datos!AM18))/(Datos!U18+Datos!AM18))," - ")</f>
        <v>-1.9083969465648856E-2</v>
      </c>
      <c r="E18" s="515">
        <f>IF(ISNUMBER(
   IF(D_I="SI",(Datos!L18-Datos!V18)/Datos!V18,(Datos!L18+Datos!AF18-(Datos!V18+Datos!AN18))/(Datos!V18+Datos!AN18))
     ),IF(D_I="SI",(Datos!L18-Datos!V18)/Datos!V18,(Datos!L18+Datos!AF18-(Datos!V18+Datos!AN18))/(Datos!V18+Datos!AN18))," - ")</f>
        <v>-0.1807909604519774</v>
      </c>
      <c r="F18" s="515">
        <f>IF(ISNUMBER((Datos!M18-Datos!W18)/Datos!W18),(Datos!M18-Datos!W18)/Datos!W18," - ")</f>
        <v>-4.4776119402985072E-2</v>
      </c>
      <c r="G18" s="516">
        <f>IF(ISNUMBER((Datos!N18-Datos!X18)/Datos!X18),(Datos!N18-Datos!X18)/Datos!X18," - ")</f>
        <v>3.0237580993520519E-2</v>
      </c>
      <c r="H18" s="514">
        <f>IF(ISNUMBER(((NºAsuntos!G18/NºAsuntos!E18)-Datos!BD18)/Datos!BD18),((NºAsuntos!G18/NºAsuntos!E18)-Datos!BD18)/Datos!BD18," - ")</f>
        <v>2.6046132074497221E-2</v>
      </c>
      <c r="I18" s="515">
        <f>IF(ISNUMBER(((NºAsuntos!I18/NºAsuntos!G18)-Datos!BE18)/Datos!BE18),((NºAsuntos!I18/NºAsuntos!G18)-Datos!BE18)/Datos!BE18," - ")</f>
        <v>-0.16485304139462284</v>
      </c>
      <c r="J18" s="521">
        <f>IF(ISNUMBER((('Resol  Asuntos'!D18/NºAsuntos!G18)-Datos!BF18)/Datos!BF18),(('Resol  Asuntos'!D18/NºAsuntos!G18)-Datos!BF18)/Datos!BF18," - ")</f>
        <v>-2.6191997212381697E-2</v>
      </c>
      <c r="K18" s="522">
        <f>IF(ISNUMBER((((NºAsuntos!C18+NºAsuntos!E18)/NºAsuntos!G18)-Datos!BG18)/Datos!BG18),(((NºAsuntos!C18+NºAsuntos!E18)/NºAsuntos!G18)-Datos!BG18)/Datos!BG18," - ")</f>
        <v>-3.0300091720506999E-2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0.22762148337595908</v>
      </c>
      <c r="C21" s="515">
        <f>IF(ISNUMBER((Datos!J21-Datos!T21)/Datos!T21),(Datos!J21-Datos!T21)/Datos!T21," - ")</f>
        <v>2.5134649910233394E-2</v>
      </c>
      <c r="D21" s="515">
        <f>IF(ISNUMBER((Datos!K21-Datos!U21)/Datos!U21),(Datos!K21-Datos!U21)/Datos!U21," - ")</f>
        <v>6.3461538461538458E-2</v>
      </c>
      <c r="E21" s="515">
        <f>IF(ISNUMBER((Datos!L21-Datos!V21)/Datos!V21),(Datos!L21-Datos!V21)/Datos!V21," - ")</f>
        <v>0.13541666666666666</v>
      </c>
      <c r="F21" s="515">
        <f>IF(ISNUMBER((Datos!M21-Datos!W21)/Datos!W21),(Datos!M21-Datos!W21)/Datos!W21," - ")</f>
        <v>3.6194415718717683E-2</v>
      </c>
      <c r="G21" s="516">
        <f>IF(ISNUMBER((Datos!N21-Datos!X21)/Datos!X21),(Datos!N21-Datos!X21)/Datos!X21," - ")</f>
        <v>-0.10581222056631892</v>
      </c>
      <c r="H21" s="514">
        <f>IF(ISNUMBER(((NºAsuntos!G21/NºAsuntos!E21)-Datos!BD21)/Datos!BD21),((NºAsuntos!G21/NºAsuntos!E21)-Datos!BD21)/Datos!BD21," - ")</f>
        <v>3.7387174996632112E-2</v>
      </c>
      <c r="I21" s="515">
        <f>IF(ISNUMBER(((NºAsuntos!I21/NºAsuntos!G21)-Datos!BE21)/Datos!BE21),((NºAsuntos!I21/NºAsuntos!G21)-Datos!BE21)/Datos!BE21," - ")</f>
        <v>6.766124171187457E-2</v>
      </c>
      <c r="J21" s="521">
        <f>IF(ISNUMBER((('Resol  Asuntos'!D21/NºAsuntos!G21)-Datos!BF21)/Datos!BF21),(('Resol  Asuntos'!D21/NºAsuntos!G21)-Datos!BF21)/Datos!BF21," - ")</f>
        <v>-2.5639970752742939E-2</v>
      </c>
      <c r="K21" s="522">
        <f>IF(ISNUMBER((((NºAsuntos!C21+NºAsuntos!E21)/NºAsuntos!G21)-Datos!BG21)/Datos!BG21),(((NºAsuntos!C21+NºAsuntos!E21)/NºAsuntos!G21)-Datos!BG21)/Datos!BG21," - ")</f>
        <v>1.3427213687947982E-2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3.9156626506024098E-2</v>
      </c>
      <c r="C23" s="1152">
        <f>IF(ISNUMBER(
   IF(Criterios!B14="SI",(Datos!J23-Datos!T23)/Datos!T23,(Datos!J23+Datos!AD23-(Datos!T23+Datos!AL23))/(Datos!T23+Datos!AL23))
     ),IF(Criterios!B14="SI",(Datos!J23-Datos!T23)/Datos!T23,(Datos!J23+Datos!AD23-(Datos!T23+Datos!AL23))/(Datos!T23+Datos!AL23))," - ")</f>
        <v>3.2054348866137214E-2</v>
      </c>
      <c r="D23" s="1152">
        <f>IF(ISNUMBER(
   IF(Criterios!B14="SI",(Datos!K23-Datos!U23)/Datos!U23,(Datos!K23+Datos!AE23-(Datos!U23+Datos!AM23))/(Datos!U23+Datos!AM23))
     ),IF(Criterios!B14="SI",(Datos!K23-Datos!U23)/Datos!U23,(Datos!K23+Datos!AE23-(Datos!U23+Datos!AM23))/(Datos!U23+Datos!AM23))," - ")</f>
        <v>5.3009969325153374E-2</v>
      </c>
      <c r="E23" s="1152">
        <f>IF(ISNUMBER(
   IF(Criterios!B14="SI",(Datos!L23-Datos!V23)/Datos!V23,(Datos!L23+Datos!AF23-(Datos!V23+Datos!AN23))/(Datos!V23+Datos!AN23))
     ),IF(Criterios!B14="SI",(Datos!L23-Datos!V23)/Datos!V23,(Datos!L23+Datos!AF23-(Datos!V23+Datos!AN23))/(Datos!V23+Datos!AN23))," - ")</f>
        <v>-7.1497584541062809E-2</v>
      </c>
      <c r="F23" s="1153">
        <f>IF(ISNUMBER((Datos!M23-Datos!W23)/Datos!W23),(Datos!M23-Datos!W23)/Datos!W23," - ")</f>
        <v>3.7089201877934269E-2</v>
      </c>
      <c r="G23" s="1154">
        <f>IF(ISNUMBER((Datos!N23-Datos!X23)/Datos!X23),(Datos!N23-Datos!X23)/Datos!X23," - ")</f>
        <v>0.1123832479662549</v>
      </c>
      <c r="H23" s="1154">
        <f>IF(ISNUMBER(((NºAsuntos!G23/NºAsuntos!E23)-Datos!BD23)/Datos!BD23),((NºAsuntos!G23/NºAsuntos!E23)-Datos!BD23)/Datos!BD23," - ")</f>
        <v>2.0304764455514369E-2</v>
      </c>
      <c r="I23" s="1154">
        <f>IF(ISNUMBER(((NºAsuntos!I23/NºAsuntos!G23)-Datos!BE23)/Datos!BE23),((NºAsuntos!I23/NºAsuntos!G23)-Datos!BE23)/Datos!BE23," - ")</f>
        <v>-0.11823967245629191</v>
      </c>
      <c r="J23" s="1154">
        <f>IF(ISNUMBER((('Resol  Asuntos'!D23/NºAsuntos!G23)-Datos!BF23)/Datos!BF23),(('Resol  Asuntos'!D23/NºAsuntos!G23)-Datos!BF23)/Datos!BF23," - ")</f>
        <v>-1.5119294129211567E-2</v>
      </c>
      <c r="K23" s="1154">
        <f>IF(ISNUMBER((((NºAsuntos!C23+NºAsuntos!E23)/NºAsuntos!G23)-Datos!BG23)/Datos!BG23),(((NºAsuntos!C23+NºAsuntos!E23)/NºAsuntos!G23)-Datos!BG23)/Datos!BG23," - ")</f>
        <v>-1.8401074082344468E-2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-7.2486360093530794E-2</v>
      </c>
      <c r="C28" s="515">
        <f>IF(ISNUMBER((Datos!J28-Datos!T28)/Datos!T28),(Datos!J28-Datos!T28)/Datos!T28," - ")</f>
        <v>6.2256809338521402E-2</v>
      </c>
      <c r="D28" s="515">
        <f>IF(ISNUMBER((Datos!K28-Datos!U28)/Datos!U28),(Datos!K28-Datos!U28)/Datos!U28," - ")</f>
        <v>-5.5797733217088058E-2</v>
      </c>
      <c r="E28" s="515">
        <f>IF(ISNUMBER((Datos!L28-Datos!V28)/Datos!V28),(Datos!L28-Datos!V28)/Datos!V28," - ")</f>
        <v>1.5966386554621848E-2</v>
      </c>
      <c r="F28" s="515">
        <f>IF(ISNUMBER((Datos!M28-Datos!W28)/Datos!W28),(Datos!M28-Datos!W28)/Datos!W28," - ")</f>
        <v>-0.15258215962441316</v>
      </c>
      <c r="G28" s="516">
        <f>IF(ISNUMBER((Datos!N28-Datos!X28)/Datos!X28),(Datos!N28-Datos!X28)/Datos!X28," - ")</f>
        <v>0.15517241379310345</v>
      </c>
      <c r="H28" s="514">
        <f>IF(ISNUMBER(((NºAsuntos!G28/NºAsuntos!E28)-Datos!BD28)/Datos!BD28),((NºAsuntos!G28/NºAsuntos!E28)-Datos!BD28)/Datos!BD28," - ")</f>
        <v>-0.11113559500656275</v>
      </c>
      <c r="I28" s="515">
        <f>IF(ISNUMBER(((NºAsuntos!I28/NºAsuntos!G28)-Datos!BE28)/Datos!BE28),((NºAsuntos!I28/NºAsuntos!G28)-Datos!BE28)/Datos!BE28," - ")</f>
        <v>7.6005028050001172E-2</v>
      </c>
      <c r="J28" s="521">
        <f>IF(ISNUMBER((('Resol  Asuntos'!D28/NºAsuntos!G28)-Datos!BF28)/Datos!BF28),(('Resol  Asuntos'!D28/NºAsuntos!G28)-Datos!BF28)/Datos!BF28," - ")</f>
        <v>-0.1025039123630674</v>
      </c>
      <c r="K28" s="522">
        <f>IF(ISNUMBER((((NºAsuntos!C28+NºAsuntos!E28)/NºAsuntos!G28)-Datos!BG28)/Datos!BG28),(((NºAsuntos!C28+NºAsuntos!E28)/NºAsuntos!G28)-Datos!BG28)/Datos!BG28," - ")</f>
        <v>4.580486037111034E-2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-7.2486360093530794E-2</v>
      </c>
      <c r="C30" s="1152">
        <f>IF(ISNUMBER((Datos!J30-Datos!T30)/Datos!T30),(Datos!J30-Datos!T30)/Datos!T30," - ")</f>
        <v>6.2256809338521402E-2</v>
      </c>
      <c r="D30" s="1152">
        <f>IF(ISNUMBER((Datos!K30-Datos!U30)/Datos!U30),(Datos!K30-Datos!U30)/Datos!U30," - ")</f>
        <v>-5.5797733217088058E-2</v>
      </c>
      <c r="E30" s="1152">
        <f>IF(ISNUMBER((Datos!L30-Datos!V30)/Datos!V30),(Datos!L30-Datos!V30)/Datos!V30," - ")</f>
        <v>1.5966386554621848E-2</v>
      </c>
      <c r="F30" s="1153">
        <f>IF(ISNUMBER((Datos!M30-Datos!W30)/Datos!W30),(Datos!M30-Datos!W30)/Datos!W30," - ")</f>
        <v>-0.15258215962441316</v>
      </c>
      <c r="G30" s="1154">
        <f>IF(ISNUMBER((Datos!N30-Datos!X30)/Datos!X30),(Datos!N30-Datos!X30)/Datos!X30," - ")</f>
        <v>0.15517241379310345</v>
      </c>
      <c r="H30" s="1154">
        <f>IF(ISNUMBER(((NºAsuntos!G30/NºAsuntos!E30)-Datos!BD30)/Datos!BD30),((NºAsuntos!G30/NºAsuntos!E30)-Datos!BD30)/Datos!BD30," - ")</f>
        <v>-0.11113559500656275</v>
      </c>
      <c r="I30" s="1154">
        <f>IF(ISNUMBER(((NºAsuntos!I30/NºAsuntos!G30)-Datos!BE30)/Datos!BE30),((NºAsuntos!I30/NºAsuntos!G30)-Datos!BE30)/Datos!BE30," - ")</f>
        <v>7.6005028050001172E-2</v>
      </c>
      <c r="J30" s="1154">
        <f>IF(ISNUMBER((('Resol  Asuntos'!D30/NºAsuntos!G30)-Datos!BF30)/Datos!BF30),(('Resol  Asuntos'!D30/NºAsuntos!G30)-Datos!BF30)/Datos!BF30," - ")</f>
        <v>-0.1025039123630674</v>
      </c>
      <c r="K30" s="1154">
        <f>IF(ISNUMBER((((NºAsuntos!C30+NºAsuntos!E30)/NºAsuntos!G30)-Datos!BG30)/Datos!BG30),(((NºAsuntos!C30+NºAsuntos!E30)/NºAsuntos!G30)-Datos!BG30)/Datos!BG30," - ")</f>
        <v>4.580486037111034E-2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2.7973568281938328E-2</v>
      </c>
      <c r="C31" s="1092">
        <f>IF(ISNUMBER(
   IF(J_V="SI",(Datos!J31-Datos!T31)/Datos!T31,(Datos!J31+Datos!Z31-(Datos!T31+Datos!AH31))/(Datos!T31+Datos!AH31))
     ),IF(J_V="SI",(Datos!J31-Datos!T31)/Datos!T31,(Datos!J31+Datos!Z31-(Datos!T31+Datos!AH31))/(Datos!T31+Datos!AH31))," - ")</f>
        <v>8.515360944357564E-2</v>
      </c>
      <c r="D31" s="1092">
        <f>IF(ISNUMBER(
   IF(J_V="SI",(Datos!K31-Datos!U31)/Datos!U31,(Datos!K31+Datos!AA31-(Datos!U31+Datos!AI31))/(Datos!U31+Datos!AI31))
     ),IF(J_V="SI",(Datos!K31-Datos!U31)/Datos!U31,(Datos!K31+Datos!AA31-(Datos!U31+Datos!AI31))/(Datos!U31+Datos!AI31))," - ")</f>
        <v>3.8544759221053694E-2</v>
      </c>
      <c r="E31" s="1092">
        <f>IF(ISNUMBER(
   IF(J_V="SI",(Datos!L31-Datos!V31)/Datos!V31,(Datos!L31+Datos!AB31-(Datos!V31+Datos!AJ31))/(Datos!V31+Datos!AJ31))
     ),IF(J_V="SI",(Datos!L31-Datos!V31)/Datos!V31,(Datos!L31+Datos!AB31-(Datos!V31+Datos!AJ31))/(Datos!V31+Datos!AJ31))," - ")</f>
        <v>9.492179130062138E-2</v>
      </c>
      <c r="F31" s="1093">
        <f>IF(ISNUMBER((Datos!M31-Datos!W31)/Datos!W31),(Datos!M31-Datos!W31)/Datos!W31," - ")</f>
        <v>2.041752695572379E-2</v>
      </c>
      <c r="G31" s="1094">
        <f>IF(ISNUMBER((Datos!N31-Datos!X31)/Datos!X31),(Datos!N31-Datos!X31)/Datos!X31," - ")</f>
        <v>0.13635894791129449</v>
      </c>
      <c r="H31" s="1095">
        <f>IF(ISNUMBER((Tasas!B31-Datos!BD31)/Datos!BD31),(Tasas!B31-Datos!BD31)/Datos!BD31," - ")</f>
        <v>-4.2951384778069424E-2</v>
      </c>
      <c r="I31" s="1096">
        <f>IF(ISNUMBER((Tasas!C31-Datos!BE31)/Datos!BE31),(Tasas!C31-Datos!BE31)/Datos!BE31," - ")</f>
        <v>5.4284643563992901E-2</v>
      </c>
      <c r="J31" s="1097">
        <f>IF(ISNUMBER((Tasas!D31-Datos!BF31)/Datos!BF31),(Tasas!D31-Datos!BF31)/Datos!BF31," - ")</f>
        <v>-0.22858140620433628</v>
      </c>
      <c r="K31" s="1097">
        <f>IF(ISNUMBER((Tasas!E31-Datos!BG31)/Datos!BG31),(Tasas!E31-Datos!BG31)/Datos!BG31," - ")</f>
        <v>2.7582343073178642E-2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gek8CTsTrpctxWbjJL1DpTHJII/WDH9HirmQvkniga1pGSAFvScO1PKQ5B3ud3OEFp3gEk2T+mKjr4WJ0vL5A==" saltValue="fJLfTaJTQJObzQyfn0h3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MANRESA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0.89690721649484539</v>
      </c>
      <c r="C10" s="498">
        <f>IF(ISNUMBER(NºAsuntos!I10/NºAsuntos!G10),NºAsuntos!I10/NºAsuntos!G10," - ")</f>
        <v>0.66666666666666663</v>
      </c>
      <c r="D10" s="499">
        <f>IF(ISNUMBER('Resol  Asuntos'!D10/NºAsuntos!G10),'Resol  Asuntos'!D10/NºAsuntos!G10," - ")</f>
        <v>0.43678160919540232</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0.88968120805369133</v>
      </c>
      <c r="C12" s="498">
        <f>IF(ISNUMBER(NºAsuntos!I12/NºAsuntos!G12),NºAsuntos!I12/NºAsuntos!G12," - ")</f>
        <v>0.7154644035832155</v>
      </c>
      <c r="D12" s="499">
        <f>IF(ISNUMBER('Resol  Asuntos'!D12/NºAsuntos!G12),'Resol  Asuntos'!D12/NºAsuntos!G12," - ")</f>
        <v>0.21687883074021688</v>
      </c>
      <c r="E12" s="500">
        <f>IF(ISNUMBER((NºAsuntos!C12+NºAsuntos!E12)/NºAsuntos!G12),(NºAsuntos!C12+NºAsuntos!E12)/NºAsuntos!G12," - ")</f>
        <v>1.7122819424799622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0.88975397072563067</v>
      </c>
      <c r="C14" s="1156">
        <f>IF(ISNUMBER(NºAsuntos!I14/NºAsuntos!G14),NºAsuntos!I14/NºAsuntos!G14," - ")</f>
        <v>0.71496908178742269</v>
      </c>
      <c r="D14" s="1157">
        <f>IF(ISNUMBER('Resol  Asuntos'!D14/NºAsuntos!G14),'Resol  Asuntos'!D14/NºAsuntos!G14," - ")</f>
        <v>0.21911095554777738</v>
      </c>
      <c r="E14" s="1158">
        <f>IF(ISNUMBER((NºAsuntos!C14+NºAsuntos!E14)/NºAsuntos!G14),(NºAsuntos!C14+NºAsuntos!E14)/NºAsuntos!G14," - ")</f>
        <v>1.7118189242795474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1.0227961819202696</v>
      </c>
      <c r="C17" s="498">
        <f>IF(ISNUMBER(NºAsuntos!I17/NºAsuntos!G17),NºAsuntos!I17/NºAsuntos!G17," - ")</f>
        <v>0.24077733860342557</v>
      </c>
      <c r="D17" s="499">
        <f>IF(ISNUMBER('Resol  Asuntos'!D17/NºAsuntos!G17),'Resol  Asuntos'!D17/NºAsuntos!G17," - ")</f>
        <v>0.12549407114624506</v>
      </c>
      <c r="E17" s="500">
        <f>IF(ISNUMBER((NºAsuntos!C17+NºAsuntos!E17)/NºAsuntos!G17),(NºAsuntos!C17+NºAsuntos!E17)/NºAsuntos!G17," - ")</f>
        <v>1.2464866051822574</v>
      </c>
      <c r="G17" s="523"/>
    </row>
    <row r="18" spans="1:7">
      <c r="A18" s="450" t="str">
        <f>Datos!A18</f>
        <v>Jdos. Violencia contra la mujer</v>
      </c>
      <c r="B18" s="497">
        <f>IF(ISNUMBER(NºAsuntos!G18/NºAsuntos!E18),NºAsuntos!G18/NºAsuntos!E18," - ")</f>
        <v>1.0433017591339648</v>
      </c>
      <c r="C18" s="498">
        <f>IF(ISNUMBER(NºAsuntos!I18/NºAsuntos!G18),NºAsuntos!I18/NºAsuntos!G18," - ")</f>
        <v>0.1880674448767834</v>
      </c>
      <c r="D18" s="499">
        <f>IF(ISNUMBER('Resol  Asuntos'!D18/NºAsuntos!G18),'Resol  Asuntos'!D18/NºAsuntos!G18," - ")</f>
        <v>8.3009079118028531E-2</v>
      </c>
      <c r="E18" s="500">
        <f>IF(ISNUMBER((NºAsuntos!C18+NºAsuntos!E18)/NºAsuntos!G18),(NºAsuntos!C18+NºAsuntos!E18)/NºAsuntos!G18," - ")</f>
        <v>1.1880674448767834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0.968476357267951</v>
      </c>
      <c r="C21" s="498">
        <f>IF(ISNUMBER(NºAsuntos!I21/NºAsuntos!G21),NºAsuntos!I21/NºAsuntos!G21," - ")</f>
        <v>0.49276672694394213</v>
      </c>
      <c r="D21" s="499">
        <f>IF(ISNUMBER('Resol  Asuntos'!D21/NºAsuntos!G21),'Resol  Asuntos'!D21/NºAsuntos!G21," - ")</f>
        <v>0.9059674502712477</v>
      </c>
      <c r="E21" s="500">
        <f>IF(ISNUMBER((NºAsuntos!C21+NºAsuntos!E21)/NºAsuntos!G21),(NºAsuntos!C21+NºAsuntos!E21)/NºAsuntos!G21," - ")</f>
        <v>1.4665461121157324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1.0184498423882811</v>
      </c>
      <c r="C23" s="1156">
        <f>IF(ISNUMBER(NºAsuntos!I23/NºAsuntos!G23),NºAsuntos!I23/NºAsuntos!G23," - ")</f>
        <v>0.26244879380974057</v>
      </c>
      <c r="D23" s="1159">
        <f>IF(ISNUMBER('Resol  Asuntos'!D23/NºAsuntos!G23),'Resol  Asuntos'!D23/NºAsuntos!G23," - ")</f>
        <v>0.20109239872553483</v>
      </c>
      <c r="E23" s="1158">
        <f>IF(ISNUMBER((NºAsuntos!C23+NºAsuntos!E23)/NºAsuntos!G23),(NºAsuntos!C23+NºAsuntos!E23)/NºAsuntos!G23," - ")</f>
        <v>1.2645425580336822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0.99175824175824179</v>
      </c>
      <c r="C28" s="498">
        <f>IF(ISNUMBER(NºAsuntos!I28/NºAsuntos!G28),NºAsuntos!I28/NºAsuntos!G28," - ")</f>
        <v>1.1163434903047091</v>
      </c>
      <c r="D28" s="499">
        <f>IF(ISNUMBER('Resol  Asuntos'!D28/NºAsuntos!G28),'Resol  Asuntos'!D28/NºAsuntos!G28," - ")</f>
        <v>0.33333333333333331</v>
      </c>
      <c r="E28" s="500">
        <f>IF(ISNUMBER((NºAsuntos!C28+NºAsuntos!E28)/NºAsuntos!G28),(NºAsuntos!C28+NºAsuntos!E28)/NºAsuntos!G28," - ")</f>
        <v>2.1071098799630654</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0.99175824175824179</v>
      </c>
      <c r="C30" s="1156">
        <f>IF(ISNUMBER(NºAsuntos!I30/NºAsuntos!G30),NºAsuntos!I30/NºAsuntos!G30," - ")</f>
        <v>1.1163434903047091</v>
      </c>
      <c r="D30" s="1159">
        <f>IF(ISNUMBER('Resol  Asuntos'!D30/NºAsuntos!G30),'Resol  Asuntos'!D30/NºAsuntos!G30," - ")</f>
        <v>0.33333333333333331</v>
      </c>
      <c r="E30" s="1158">
        <f>IF(ISNUMBER((NºAsuntos!C30+NºAsuntos!E30)/NºAsuntos!G30),(NºAsuntos!C30+NºAsuntos!E30)/NºAsuntos!G30," - ")</f>
        <v>2.1071098799630654</v>
      </c>
      <c r="G30" s="523"/>
    </row>
    <row r="31" spans="1:7" ht="15.75" customHeight="1" thickTop="1" thickBot="1">
      <c r="A31" s="1083" t="str">
        <f>Datos!A31</f>
        <v>TOTAL JURISDICCIONES</v>
      </c>
      <c r="B31" s="1098">
        <f>IF(ISNUMBER(NºAsuntos!G31/NºAsuntos!E31),NºAsuntos!G31/NºAsuntos!E31," - ")</f>
        <v>0.95946260052996146</v>
      </c>
      <c r="C31" s="1099">
        <f>IF(ISNUMBER(NºAsuntos!I31/NºAsuntos!G31),NºAsuntos!I31/NºAsuntos!G31," - ")</f>
        <v>0.49517902999176316</v>
      </c>
      <c r="D31" s="1100">
        <f>IF(ISNUMBER('Resol  Asuntos'!D31/NºAsuntos!G31),'Resol  Asuntos'!D31/NºAsuntos!G31," - ")</f>
        <v>0.21551431755414507</v>
      </c>
      <c r="E31" s="1101">
        <f>IF(ISNUMBER((NºAsuntos!C31+NºAsuntos!E31)/NºAsuntos!G31),(NºAsuntos!C31+NºAsuntos!E31)/NºAsuntos!G31," - ")</f>
        <v>1.4945007025534183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LsS+oT+rHzYMWazl3B6+uSFjRtSVhtKeJA7RY7NXRav3TOFCzMNxazvDE00q1F43JKEZSCSmEqPlecpAamIuQ==" saltValue="pt5DNeD1b7v0j2SBnqD1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MANRESA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48</v>
      </c>
      <c r="G10" s="373">
        <f>IF(ISNUMBER(Datos!I10),Datos!I10," - ")</f>
        <v>48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87</v>
      </c>
      <c r="X10" s="240">
        <f>IF(ISNUMBER(Datos!Q10),Datos!Q10," - ")</f>
        <v>40</v>
      </c>
      <c r="Y10" s="374">
        <f t="shared" ref="Y10:Y13" si="0">SUM(W10:X10)</f>
        <v>127</v>
      </c>
      <c r="Z10" s="375" t="str">
        <f>IF(ISNUMBER(Datos!CC10),Datos!CC10," - ")</f>
        <v xml:space="preserve"> - </v>
      </c>
      <c r="AA10" s="372">
        <f>IF(ISNUMBER(Datos!L10),Datos!L10,"-")</f>
        <v>58</v>
      </c>
      <c r="AB10" s="374">
        <f>IF(ISNUMBER(Datos!R10),Datos!R10," - ")</f>
        <v>94</v>
      </c>
      <c r="AC10" s="374">
        <f t="shared" ref="AC10:AC13" si="1">IF(ISNUMBER(AA10+AB10),AA10+AB10," - ")</f>
        <v>152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38</v>
      </c>
      <c r="AJ10" s="245" t="str">
        <f>IF(ISNUMBER(Datos!BW10),Datos!BW10," - ")</f>
        <v xml:space="preserve"> - </v>
      </c>
      <c r="AK10" s="246" t="str">
        <f>IF(ISNUMBER(Datos!BX10),Datos!BX10," - ")</f>
        <v xml:space="preserve"> - </v>
      </c>
      <c r="AL10" s="266">
        <f>IF(ISNUMBER(NºAsuntos!G10/NºAsuntos!E10),NºAsuntos!G10/NºAsuntos!E10," - ")</f>
        <v>0.89690721649484539</v>
      </c>
      <c r="AM10" s="284">
        <f>IF(ISNUMBER(((NºAsuntos!I10/NºAsuntos!G10)*11)/factor_trimestre),((NºAsuntos!I10/NºAsuntos!G10)*11)/factor_trimestre," - ")</f>
        <v>7.333333333333333</v>
      </c>
      <c r="AN10" s="267">
        <f>IF(ISNUMBER('Resol  Asuntos'!D10/NºAsuntos!G10),'Resol  Asuntos'!D10/NºAsuntos!G10," - ")</f>
        <v>0.43678160919540232</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315</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2583</v>
      </c>
      <c r="Y12" s="374">
        <f t="shared" si="0"/>
        <v>2583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1840</v>
      </c>
      <c r="AJ12" s="243" t="str">
        <f>IF(ISNUMBER(Datos!BW12),Datos!BW12," - ")</f>
        <v xml:space="preserve"> - </v>
      </c>
      <c r="AK12" s="242" t="str">
        <f>IF(ISNUMBER(Datos!BX12),Datos!BX12," - ")</f>
        <v xml:space="preserve"> - </v>
      </c>
      <c r="AL12" s="266">
        <f>IF(ISNUMBER(NºAsuntos!G12/NºAsuntos!E12),NºAsuntos!G12/NºAsuntos!E12," - ")</f>
        <v>0.88968120805369133</v>
      </c>
      <c r="AM12" s="284">
        <f>IF(ISNUMBER(((NºAsuntos!I12/NºAsuntos!G12)*11)/factor_trimestre),((NºAsuntos!I12/NºAsuntos!G12)*11)/factor_trimestre," - ")</f>
        <v>7.8701084394153709</v>
      </c>
      <c r="AN12" s="267">
        <f>IF(ISNUMBER('Resol  Asuntos'!D12/NºAsuntos!G12),'Resol  Asuntos'!D12/NºAsuntos!G12," - ")</f>
        <v>0.21687883074021688</v>
      </c>
      <c r="AO12" s="268">
        <f>IF(ISNUMBER((NºAsuntos!C12+NºAsuntos!E12)/NºAsuntos!G12),(NºAsuntos!C12+NºAsuntos!E12)/NºAsuntos!G12," - ")</f>
        <v>1.7122819424799622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48</v>
      </c>
      <c r="G14" s="1163">
        <f t="shared" si="5"/>
        <v>48</v>
      </c>
      <c r="H14" s="1162">
        <f t="shared" si="5"/>
        <v>0</v>
      </c>
      <c r="I14" s="1164">
        <f t="shared" si="5"/>
        <v>0</v>
      </c>
      <c r="J14" s="1164">
        <f t="shared" si="5"/>
        <v>0</v>
      </c>
      <c r="K14" s="1164">
        <f t="shared" si="5"/>
        <v>0</v>
      </c>
      <c r="L14" s="1164">
        <f t="shared" si="5"/>
        <v>2349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87</v>
      </c>
      <c r="X14" s="1164">
        <f t="shared" si="6"/>
        <v>2623</v>
      </c>
      <c r="Y14" s="1165">
        <f t="shared" si="6"/>
        <v>2710</v>
      </c>
      <c r="Z14" s="1165">
        <f t="shared" si="6"/>
        <v>0</v>
      </c>
      <c r="AA14" s="1165">
        <f t="shared" si="6"/>
        <v>58</v>
      </c>
      <c r="AB14" s="1165">
        <f t="shared" si="6"/>
        <v>8327</v>
      </c>
      <c r="AC14" s="1165">
        <f t="shared" si="6"/>
        <v>152</v>
      </c>
      <c r="AD14" s="1165">
        <f t="shared" si="6"/>
        <v>0</v>
      </c>
      <c r="AE14" s="1169">
        <f t="shared" si="6"/>
        <v>0</v>
      </c>
      <c r="AF14" s="1162">
        <f t="shared" si="6"/>
        <v>0</v>
      </c>
      <c r="AG14" s="1170">
        <f t="shared" si="6"/>
        <v>0</v>
      </c>
      <c r="AH14" s="1167">
        <f t="shared" si="6"/>
        <v>0</v>
      </c>
      <c r="AI14" s="1162">
        <f t="shared" si="6"/>
        <v>1878</v>
      </c>
      <c r="AJ14" s="1164">
        <f t="shared" si="6"/>
        <v>0</v>
      </c>
      <c r="AK14" s="1167">
        <f>SUBTOTAL(9,AK9:AK13)</f>
        <v>0</v>
      </c>
      <c r="AL14" s="1171">
        <f>IF(ISNUMBER(NºAsuntos!G14/NºAsuntos!E14),NºAsuntos!G14/NºAsuntos!E14," - ")</f>
        <v>0.88975397072563067</v>
      </c>
      <c r="AM14" s="1171">
        <f>IF(ISNUMBER(((NºAsuntos!I14/NºAsuntos!G14)*11)/factor_trimestre),((NºAsuntos!I14/NºAsuntos!G14)*11)/factor_trimestre," - ")</f>
        <v>7.8646598996616497</v>
      </c>
      <c r="AN14" s="1172">
        <f>IF(ISNUMBER('Resol  Asuntos'!D14/NºAsuntos!G14),'Resol  Asuntos'!D14/NºAsuntos!G14," - ")</f>
        <v>0.21911095554777738</v>
      </c>
      <c r="AO14" s="1173">
        <f>IF(ISNUMBER((NºAsuntos!C14+NºAsuntos!E14)/NºAsuntos!G14),(NºAsuntos!C14+NºAsuntos!E14)/NºAsuntos!G14," - ")</f>
        <v>1.7118189242795474</v>
      </c>
      <c r="AP14" s="1174" t="str">
        <f t="shared" si="2"/>
        <v xml:space="preserve"> - </v>
      </c>
      <c r="AQ14" s="1174">
        <f>IF(ISNUMBER((H14-W14+K14)/(F14)),(H14-W14+K14)/(F14)," - ")</f>
        <v>-1.8125</v>
      </c>
      <c r="AR14" s="1175">
        <f>IF(ISNUMBER((Datos!P14-Datos!Q14)/(Datos!R14-Datos!P14+Datos!Q14)),(Datos!P14-Datos!Q14)/(Datos!R14-Datos!P14+Datos!Q14)," - ")</f>
        <v>-3.1856760841762588E-2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504</v>
      </c>
      <c r="C17" s="173" t="str">
        <f>Datos!A17</f>
        <v xml:space="preserve">Jdos. 1ª Instª. e Instr.                        </v>
      </c>
      <c r="D17" s="173"/>
      <c r="E17" s="1402">
        <f>IF(ISNUMBER(Datos!AQ17),Datos!AQ17," - ")</f>
        <v>8</v>
      </c>
      <c r="F17" s="239">
        <f>IF(ISNUMBER(AA17+W17-Datos!J17-K17),AA17+W17-Datos!J17-K17," - ")</f>
        <v>2396</v>
      </c>
      <c r="G17" s="373">
        <f>IF(ISNUMBER(IF(D_I="SI",Datos!I17,Datos!I17+Datos!AC17)),IF(D_I="SI",Datos!I17,Datos!I17+Datos!AC17)," - ")</f>
        <v>2448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9108</v>
      </c>
      <c r="X17" s="240">
        <f>IF(ISNUMBER(Datos!Q17),Datos!Q17," - ")</f>
        <v>126</v>
      </c>
      <c r="Y17" s="374">
        <f t="shared" ref="Y17:Y22" si="9">SUM(W17:X17)</f>
        <v>9234</v>
      </c>
      <c r="Z17" s="375" t="str">
        <f>IF(ISNUMBER(Datos!CC17),Datos!CC17," - ")</f>
        <v xml:space="preserve"> - </v>
      </c>
      <c r="AA17" s="372">
        <f>IF(ISNUMBER(IF(D_I="SI",Datos!L17,Datos!L17+Datos!AF17)),IF(D_I="SI",Datos!L17,Datos!L17+Datos!AF17)," - ")</f>
        <v>2193</v>
      </c>
      <c r="AB17" s="374">
        <f>IF(ISNUMBER(Datos!R17),Datos!R17," - ")</f>
        <v>322</v>
      </c>
      <c r="AC17" s="374">
        <f t="shared" si="8"/>
        <v>2515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1143</v>
      </c>
      <c r="AJ17" s="245" t="str">
        <f>IF(ISNUMBER(Datos!BW17),Datos!BW17," - ")</f>
        <v xml:space="preserve"> - </v>
      </c>
      <c r="AK17" s="246" t="str">
        <f>IF(ISNUMBER(Datos!BX17),Datos!BX17," - ")</f>
        <v xml:space="preserve"> - </v>
      </c>
      <c r="AL17" s="266">
        <f>IF(ISNUMBER(NºAsuntos!G17/NºAsuntos!E17),NºAsuntos!G17/NºAsuntos!E17," - ")</f>
        <v>1.0227961819202696</v>
      </c>
      <c r="AM17" s="284">
        <f>IF(ISNUMBER(((NºAsuntos!I17/NºAsuntos!G17)*11)/factor_trimestre),((NºAsuntos!I17/NºAsuntos!G17)*11)/factor_trimestre," - ")</f>
        <v>2.6485507246376812</v>
      </c>
      <c r="AN17" s="267">
        <f>IF(ISNUMBER('Resol  Asuntos'!D17/NºAsuntos!G17),'Resol  Asuntos'!D17/NºAsuntos!G17," - ")</f>
        <v>0.12549407114624506</v>
      </c>
      <c r="AO17" s="268">
        <f>IF(ISNUMBER((NºAsuntos!C17+NºAsuntos!E17)/NºAsuntos!G17),(NºAsuntos!C17+NºAsuntos!E17)/NºAsuntos!G17," - ")</f>
        <v>1.2464866051822574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771</v>
      </c>
      <c r="X18" s="240">
        <f>IF(ISNUMBER(Datos!Q18),Datos!Q18," - ")</f>
        <v>10</v>
      </c>
      <c r="Y18" s="374">
        <f t="shared" si="9"/>
        <v>781</v>
      </c>
      <c r="Z18" s="375" t="str">
        <f>IF(ISNUMBER(Datos!CC18),Datos!CC18," - ")</f>
        <v xml:space="preserve"> - </v>
      </c>
      <c r="AA18" s="372">
        <f>IF(ISNUMBER(Datos!L18),Datos!L18,"-")</f>
        <v>145</v>
      </c>
      <c r="AB18" s="374">
        <f>IF(ISNUMBER(Datos!R18),Datos!R18," - ")</f>
        <v>2</v>
      </c>
      <c r="AC18" s="374">
        <f t="shared" si="8"/>
        <v>147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1.0433017591339648</v>
      </c>
      <c r="AM18" s="284">
        <f>IF(ISNUMBER(((NºAsuntos!I18/NºAsuntos!G18)*11)/factor_trimestre),((NºAsuntos!I18/NºAsuntos!G18)*11)/factor_trimestre," - ")</f>
        <v>2.0687418936446171</v>
      </c>
      <c r="AN18" s="267">
        <f>IF(ISNUMBER('Resol  Asuntos'!D18/NºAsuntos!G18),'Resol  Asuntos'!D18/NºAsuntos!G18," - ")</f>
        <v>8.3009079118028531E-2</v>
      </c>
      <c r="AO18" s="268">
        <f>IF(ISNUMBER((NºAsuntos!C18+NºAsuntos!E18)/NºAsuntos!G18),(NºAsuntos!C18+NºAsuntos!E18)/NºAsuntos!G18," - ")</f>
        <v>1.1880674448767834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504</v>
      </c>
      <c r="C21" s="7" t="str">
        <f>Datos!A21</f>
        <v xml:space="preserve">Jdos. de lo Penal                               </v>
      </c>
      <c r="D21" s="7"/>
      <c r="E21" s="1402">
        <f>IF(ISNUMBER(Datos!AQ21),Datos!AQ21," - ")</f>
        <v>3</v>
      </c>
      <c r="F21" s="239">
        <f>IF(ISNUMBER(Datos!L21+Datos!K21-Datos!J21-K21),Datos!L21+Datos!K21-Datos!J21-K21," - ")</f>
        <v>509</v>
      </c>
      <c r="G21" s="373">
        <f>IF(ISNUMBER(Datos!I21),Datos!I21," - ")</f>
        <v>480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1836</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1106</v>
      </c>
      <c r="X21" s="240">
        <f>IF(ISNUMBER(Datos!Q21),Datos!Q21," - ")</f>
        <v>1972</v>
      </c>
      <c r="Y21" s="374">
        <f t="shared" si="9"/>
        <v>3078</v>
      </c>
      <c r="Z21" s="375" t="str">
        <f>IF(ISNUMBER(Datos!CC21),Datos!CC21," - ")</f>
        <v xml:space="preserve"> - </v>
      </c>
      <c r="AA21" s="372">
        <f>IF(ISNUMBER(Datos!L21),Datos!L21,"-")</f>
        <v>545</v>
      </c>
      <c r="AB21" s="374">
        <f>IF(ISNUMBER(Datos!R21),Datos!R21," - ")</f>
        <v>3468</v>
      </c>
      <c r="AC21" s="374">
        <f t="shared" si="8"/>
        <v>4013</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1002</v>
      </c>
      <c r="AJ21" s="245" t="str">
        <f>IF(ISNUMBER(Datos!BW21),Datos!BW21," - ")</f>
        <v xml:space="preserve"> - </v>
      </c>
      <c r="AK21" s="246" t="str">
        <f>IF(ISNUMBER(Datos!BX21),Datos!BX21," - ")</f>
        <v xml:space="preserve"> - </v>
      </c>
      <c r="AL21" s="266">
        <f>IF(ISNUMBER(NºAsuntos!G21/NºAsuntos!E21),NºAsuntos!G21/NºAsuntos!E21," - ")</f>
        <v>0.968476357267951</v>
      </c>
      <c r="AM21" s="284">
        <f>IF(ISNUMBER(((NºAsuntos!I21/NºAsuntos!G21)*11)/factor_trimestre),((NºAsuntos!I21/NºAsuntos!G21)*11)/factor_trimestre," - ")</f>
        <v>5.4204339963833634</v>
      </c>
      <c r="AN21" s="267">
        <f>IF(ISNUMBER('Resol  Asuntos'!D21/NºAsuntos!G21),'Resol  Asuntos'!D21/NºAsuntos!G21," - ")</f>
        <v>0.9059674502712477</v>
      </c>
      <c r="AO21" s="268">
        <f>IF(ISNUMBER((NºAsuntos!C21+NºAsuntos!E21)/NºAsuntos!G21),(NºAsuntos!C21+NºAsuntos!E21)/NºAsuntos!G21," - ")</f>
        <v>1.4665461121157324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2905</v>
      </c>
      <c r="G23" s="1163">
        <f>SUBTOTAL(9,G16:G22)</f>
        <v>3105</v>
      </c>
      <c r="H23" s="1162">
        <f t="shared" ref="H23:O23" si="13">SUBTOTAL(9,H15:H22)</f>
        <v>0</v>
      </c>
      <c r="I23" s="1164">
        <f t="shared" si="13"/>
        <v>0</v>
      </c>
      <c r="J23" s="1164">
        <f t="shared" si="13"/>
        <v>0</v>
      </c>
      <c r="K23" s="1164">
        <f t="shared" si="13"/>
        <v>0</v>
      </c>
      <c r="L23" s="1164">
        <f t="shared" si="13"/>
        <v>2036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10985</v>
      </c>
      <c r="X23" s="1164">
        <f t="shared" si="14"/>
        <v>2108</v>
      </c>
      <c r="Y23" s="1165">
        <f t="shared" si="14"/>
        <v>13093</v>
      </c>
      <c r="Z23" s="1165">
        <f t="shared" si="14"/>
        <v>0</v>
      </c>
      <c r="AA23" s="1165">
        <f t="shared" si="14"/>
        <v>2883</v>
      </c>
      <c r="AB23" s="1165">
        <f t="shared" si="14"/>
        <v>3792</v>
      </c>
      <c r="AC23" s="1165">
        <f t="shared" si="14"/>
        <v>6675</v>
      </c>
      <c r="AD23" s="1165">
        <f t="shared" si="14"/>
        <v>0</v>
      </c>
      <c r="AE23" s="1169">
        <f t="shared" si="14"/>
        <v>0</v>
      </c>
      <c r="AF23" s="1162">
        <f t="shared" si="14"/>
        <v>0</v>
      </c>
      <c r="AG23" s="1170">
        <f t="shared" si="14"/>
        <v>0</v>
      </c>
      <c r="AH23" s="1167">
        <f t="shared" si="14"/>
        <v>0</v>
      </c>
      <c r="AI23" s="1162">
        <f t="shared" si="14"/>
        <v>2209</v>
      </c>
      <c r="AJ23" s="1164">
        <f t="shared" si="14"/>
        <v>0</v>
      </c>
      <c r="AK23" s="1167">
        <f t="shared" si="14"/>
        <v>0</v>
      </c>
      <c r="AL23" s="1171">
        <f>IF(ISNUMBER(NºAsuntos!G23/NºAsuntos!E23),NºAsuntos!G23/NºAsuntos!E23," - ")</f>
        <v>1.0184498423882811</v>
      </c>
      <c r="AM23" s="1171">
        <f>IF(ISNUMBER(((NºAsuntos!I23/NºAsuntos!G23)*11)/factor_trimestre),((NºAsuntos!I23/NºAsuntos!G23)*11)/factor_trimestre," - ")</f>
        <v>2.8869367319071464</v>
      </c>
      <c r="AN23" s="1172">
        <f>IF(ISNUMBER('Resol  Asuntos'!D23/NºAsuntos!G23),'Resol  Asuntos'!D23/NºAsuntos!G23," - ")</f>
        <v>0.20109239872553483</v>
      </c>
      <c r="AO23" s="1173">
        <f>IF(ISNUMBER((NºAsuntos!C23+NºAsuntos!E23)/NºAsuntos!G23),(NºAsuntos!C23+NºAsuntos!E23)/NºAsuntos!G23," - ")</f>
        <v>1.2645425580336822</v>
      </c>
      <c r="AP23" s="1174" t="str">
        <f t="shared" si="2"/>
        <v xml:space="preserve"> - </v>
      </c>
      <c r="AQ23" s="1174">
        <f>IF(ISNUMBER((H23-W23+K23)/(F23)),(H23-W23+K23)/(F23)," - ")</f>
        <v>-3.7814113597246126</v>
      </c>
      <c r="AR23" s="1175">
        <f>IF(ISNUMBER((Datos!P23-Datos!Q23)/(Datos!R23-Datos!P23+Datos!Q23)),(Datos!P23-Datos!Q23)/(Datos!R23-Datos!P23+Datos!Q23)," - ")</f>
        <v>-1.8633540372670808E-2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506</v>
      </c>
      <c r="C28" s="7" t="str">
        <f>Datos!A28</f>
        <v xml:space="preserve">Jdos. de lo Social                              </v>
      </c>
      <c r="D28" s="7"/>
      <c r="E28" s="1402">
        <f>IF(ISNUMBER(Datos!AQ28),Datos!AQ28," - ")</f>
        <v>1</v>
      </c>
      <c r="F28" s="239">
        <f>IF(ISNUMBER(Datos!L28+Datos!K28-Datos!J28-K28),Datos!L28+Datos!K28-Datos!J28-K28," - ")</f>
        <v>1200</v>
      </c>
      <c r="G28" s="373">
        <f>IF(ISNUMBER(Datos!I28),Datos!I28," - ")</f>
        <v>1190</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38</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1083</v>
      </c>
      <c r="X28" s="240">
        <f>IF(ISNUMBER(Datos!Q28),Datos!Q28," - ")</f>
        <v>64</v>
      </c>
      <c r="Y28" s="374">
        <f>SUM(W28:X28)</f>
        <v>1147</v>
      </c>
      <c r="Z28" s="375" t="str">
        <f>IF(ISNUMBER(Datos!CC28),Datos!CC28," - ")</f>
        <v xml:space="preserve"> - </v>
      </c>
      <c r="AA28" s="372">
        <f>IF(ISNUMBER(Datos!L28),Datos!L28,"-")</f>
        <v>1209</v>
      </c>
      <c r="AB28" s="374">
        <f>IF(ISNUMBER(Datos!R28),Datos!R28," - ")</f>
        <v>8</v>
      </c>
      <c r="AC28" s="374">
        <f>IF(ISNUMBER(AA28+AB28),AA28+AB28," - ")</f>
        <v>1217</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361</v>
      </c>
      <c r="AJ28" s="245" t="str">
        <f>IF(ISNUMBER(Datos!BW28),Datos!BW28," - ")</f>
        <v xml:space="preserve"> - </v>
      </c>
      <c r="AK28" s="246" t="str">
        <f>IF(ISNUMBER(Datos!BX28),Datos!BX28," - ")</f>
        <v xml:space="preserve"> - </v>
      </c>
      <c r="AL28" s="266">
        <f>IF(ISNUMBER(NºAsuntos!G28/NºAsuntos!E28),NºAsuntos!G28/NºAsuntos!E28," - ")</f>
        <v>0.99175824175824179</v>
      </c>
      <c r="AM28" s="284">
        <f>IF(ISNUMBER(((NºAsuntos!I28/NºAsuntos!G28)*11)/factor_trimestre),((NºAsuntos!I28/NºAsuntos!G28)*11)/factor_trimestre," - ")</f>
        <v>12.279778393351801</v>
      </c>
      <c r="AN28" s="267">
        <f>IF(ISNUMBER('Resol  Asuntos'!D28/NºAsuntos!G28),'Resol  Asuntos'!D28/NºAsuntos!G28," - ")</f>
        <v>0.33333333333333331</v>
      </c>
      <c r="AO28" s="268">
        <f>IF(ISNUMBER((NºAsuntos!C28+NºAsuntos!E28)/NºAsuntos!G28),(NºAsuntos!C28+NºAsuntos!E28)/NºAsuntos!G28," - ")</f>
        <v>2.1071098799630654</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1200</v>
      </c>
      <c r="G30" s="1162">
        <f>SUBTOTAL(9,G28:G29)</f>
        <v>1190</v>
      </c>
      <c r="H30" s="1162">
        <f>SUBTOTAL(9,H28:H29)</f>
        <v>0</v>
      </c>
      <c r="I30" s="1167">
        <f>SUBTOTAL(9,I28:I29)</f>
        <v>0</v>
      </c>
      <c r="J30" s="1167">
        <f>SUBTOTAL(9,J28:J29)</f>
        <v>0</v>
      </c>
      <c r="K30" s="1167">
        <f>SUBTOTAL(9,K23:K29)</f>
        <v>0</v>
      </c>
      <c r="L30" s="1167">
        <f>SUBTOTAL(9,L28:L29)</f>
        <v>38</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1083</v>
      </c>
      <c r="X30" s="1164">
        <f t="shared" si="19"/>
        <v>64</v>
      </c>
      <c r="Y30" s="1165">
        <f t="shared" si="19"/>
        <v>1147</v>
      </c>
      <c r="Z30" s="1165">
        <f t="shared" si="19"/>
        <v>0</v>
      </c>
      <c r="AA30" s="1165">
        <f t="shared" si="19"/>
        <v>1209</v>
      </c>
      <c r="AB30" s="1165">
        <f t="shared" si="19"/>
        <v>8</v>
      </c>
      <c r="AC30" s="1165">
        <f t="shared" si="19"/>
        <v>1217</v>
      </c>
      <c r="AD30" s="1165">
        <f t="shared" si="19"/>
        <v>0</v>
      </c>
      <c r="AE30" s="1169">
        <f t="shared" si="19"/>
        <v>0</v>
      </c>
      <c r="AF30" s="1162">
        <f t="shared" si="19"/>
        <v>0</v>
      </c>
      <c r="AG30" s="1170">
        <f t="shared" si="19"/>
        <v>0</v>
      </c>
      <c r="AH30" s="1167">
        <f t="shared" si="19"/>
        <v>0</v>
      </c>
      <c r="AI30" s="1162">
        <f t="shared" si="19"/>
        <v>361</v>
      </c>
      <c r="AJ30" s="1164">
        <f t="shared" si="19"/>
        <v>0</v>
      </c>
      <c r="AK30" s="1167">
        <f t="shared" si="19"/>
        <v>0</v>
      </c>
      <c r="AL30" s="1171">
        <f>IF(ISNUMBER(NºAsuntos!G30/NºAsuntos!E30),NºAsuntos!G30/NºAsuntos!E30," - ")</f>
        <v>0.99175824175824179</v>
      </c>
      <c r="AM30" s="1171">
        <f>IF(ISNUMBER(((NºAsuntos!I30/NºAsuntos!G30)*11)/factor_trimestre),((NºAsuntos!I30/NºAsuntos!G30)*11)/factor_trimestre," - ")</f>
        <v>12.279778393351801</v>
      </c>
      <c r="AN30" s="1172">
        <f>IF(ISNUMBER('Resol  Asuntos'!D30/NºAsuntos!G30),'Resol  Asuntos'!D30/NºAsuntos!G30," - ")</f>
        <v>0.33333333333333331</v>
      </c>
      <c r="AO30" s="1173">
        <f>IF(ISNUMBER((NºAsuntos!C30+NºAsuntos!E30)/NºAsuntos!G30),(NºAsuntos!C30+NºAsuntos!E30)/NºAsuntos!G30," - ")</f>
        <v>2.1071098799630654</v>
      </c>
      <c r="AP30" s="1174" t="str">
        <f t="shared" si="2"/>
        <v xml:space="preserve"> - </v>
      </c>
      <c r="AQ30" s="1174">
        <f t="shared" si="18"/>
        <v>-0.90249999999999997</v>
      </c>
      <c r="AR30" s="1175">
        <f>IF(ISNUMBER((Datos!P30-Datos!Q30)/(Datos!R30-Datos!P30+Datos!Q30)),(Datos!P30-Datos!Q30)/(Datos!R30-Datos!P30+Datos!Q30)," - ")</f>
        <v>-0.76470588235294112</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22</v>
      </c>
      <c r="F31" s="1117">
        <f t="shared" si="20"/>
        <v>4153</v>
      </c>
      <c r="G31" s="1118">
        <f t="shared" si="20"/>
        <v>4343</v>
      </c>
      <c r="H31" s="1117">
        <f t="shared" si="20"/>
        <v>0</v>
      </c>
      <c r="I31" s="1119">
        <f t="shared" si="20"/>
        <v>0</v>
      </c>
      <c r="J31" s="1119">
        <f t="shared" si="20"/>
        <v>0</v>
      </c>
      <c r="K31" s="1180">
        <f t="shared" si="20"/>
        <v>0</v>
      </c>
      <c r="L31" s="1119">
        <f t="shared" si="20"/>
        <v>4423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12155</v>
      </c>
      <c r="X31" s="1118">
        <f t="shared" si="21"/>
        <v>4795</v>
      </c>
      <c r="Y31" s="1125">
        <f t="shared" si="21"/>
        <v>16950</v>
      </c>
      <c r="Z31" s="1125">
        <f t="shared" si="21"/>
        <v>0</v>
      </c>
      <c r="AA31" s="1125">
        <f t="shared" si="21"/>
        <v>4150</v>
      </c>
      <c r="AB31" s="1125">
        <f t="shared" si="21"/>
        <v>12127</v>
      </c>
      <c r="AC31" s="1125">
        <f t="shared" si="21"/>
        <v>8044</v>
      </c>
      <c r="AD31" s="1125">
        <f t="shared" si="21"/>
        <v>0</v>
      </c>
      <c r="AE31" s="1127">
        <f t="shared" si="21"/>
        <v>0</v>
      </c>
      <c r="AF31" s="1128">
        <f t="shared" si="21"/>
        <v>0</v>
      </c>
      <c r="AG31" s="1129">
        <f t="shared" si="21"/>
        <v>0</v>
      </c>
      <c r="AH31" s="1127">
        <f t="shared" si="21"/>
        <v>0</v>
      </c>
      <c r="AI31" s="1117">
        <f t="shared" si="21"/>
        <v>4448</v>
      </c>
      <c r="AJ31" s="1117">
        <f t="shared" si="21"/>
        <v>0</v>
      </c>
      <c r="AK31" s="1127">
        <f t="shared" si="21"/>
        <v>0</v>
      </c>
      <c r="AL31" s="1183">
        <f>IF(ISNUMBER(NºAsuntos!G31/NºAsuntos!E31),NºAsuntos!G31/NºAsuntos!E31," - ")</f>
        <v>0.95946260052996146</v>
      </c>
      <c r="AM31" s="1184">
        <f>IF(ISNUMBER(((NºAsuntos!I31/NºAsuntos!G31)*11)/factor_trimestre),((NºAsuntos!I31/NºAsuntos!G31)*11)/factor_trimestre," - ")</f>
        <v>5.4469693299093951</v>
      </c>
      <c r="AN31" s="1184">
        <f>IF(ISNUMBER('Resol  Asuntos'!D31/NºAsuntos!G31),'Resol  Asuntos'!D31/NºAsuntos!G31," - ")</f>
        <v>0.21551431755414507</v>
      </c>
      <c r="AO31" s="1185">
        <f>IF(ISNUMBER((NºAsuntos!C31+NºAsuntos!E31)/NºAsuntos!G31),(NºAsuntos!C31+NºAsuntos!E31)/NºAsuntos!G31," - ")</f>
        <v>1.4945007025534183</v>
      </c>
      <c r="AP31" s="1186" t="str">
        <f t="shared" si="2"/>
        <v xml:space="preserve"> - </v>
      </c>
      <c r="AQ31" s="1187">
        <f>IF(OR(ISNUMBER(FIND("01",Criterios!A8,1)),ISNUMBER(FIND("02",Criterios!A8,1)),ISNUMBER(FIND("03",Criterios!A8,1)),ISNUMBER(FIND("04",Criterios!A8,1))),(I31-W31+K31)/(F31-K31),(H31-W31+K31)/(F31-K31))</f>
        <v>-2.9267999036840839</v>
      </c>
      <c r="AR31" s="1188">
        <f>IF(ISNUMBER((Datos!P31-Datos!Q31)/(Datos!R31-Datos!P31+Datos!Q31)),(Datos!P31-Datos!Q31)/(Datos!R31-Datos!P31+Datos!Q31)," - ")</f>
        <v>-2.9762380990479238E-2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965.11111111111109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3.8304718534252462</v>
      </c>
      <c r="F33" s="276">
        <f>IF(ISNUMBER(STDEV(F8:F30)),STDEV(F8:F30),"-")</f>
        <v>1114.8238489939629</v>
      </c>
      <c r="G33" s="277">
        <f>IF(ISNUMBER(STDEV(G8:G30)),STDEV(G8:G30),"-")</f>
        <v>1137.39345044321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4215.1582249200455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846.88438145685245</v>
      </c>
      <c r="AJ33" s="276">
        <f t="shared" si="25"/>
        <v>0</v>
      </c>
      <c r="AK33" s="278">
        <f t="shared" si="25"/>
        <v>0</v>
      </c>
      <c r="AL33" s="273">
        <f t="shared" si="25"/>
        <v>6.0886851615878361E-2</v>
      </c>
      <c r="AM33" s="274">
        <f t="shared" si="25"/>
        <v>3.8636170329505748</v>
      </c>
      <c r="AN33" s="274">
        <f t="shared" si="25"/>
        <v>0.24653365882064432</v>
      </c>
      <c r="AO33" s="275">
        <f t="shared" si="25"/>
        <v>0.34790866414216626</v>
      </c>
      <c r="AP33" s="317" t="str">
        <f t="shared" si="25"/>
        <v>-</v>
      </c>
      <c r="AQ33" s="318">
        <f t="shared" si="25"/>
        <v>1.4715548783290437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ILPbVVJjX4pOyxJvNATWaqL87dbwS0Zvw3DPD+ezP9LkfXqyiMkuUg1MOx/9GGjfz+o/VTUCGer2zUCpmuKnQ==" saltValue="zFj4tjR4mOtoQbDeLLpC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MANRESA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-0.21311475409836064</v>
      </c>
      <c r="E10" s="393">
        <f>IF(ISNUMBER((Datos!J10-Datos!T10)/Datos!T10),(Datos!J10-Datos!T10)/Datos!T10," - ")</f>
        <v>-0.17796610169491525</v>
      </c>
      <c r="F10" s="393">
        <f>IF(ISNUMBER((Datos!K10-Datos!U10)/Datos!U10),(Datos!K10-Datos!U10)/Datos!U10," - ")</f>
        <v>-0.33587786259541985</v>
      </c>
      <c r="G10" s="394">
        <f>IF(ISNUMBER((Datos!L10-Datos!V10)/Datos!V10),(Datos!L10-Datos!V10)/Datos!V10," - ")</f>
        <v>0.20833333333333334</v>
      </c>
      <c r="H10" s="244">
        <f>IF(ISNUMBER((Datos!M10-Datos!W10)/Datos!W10),(Datos!M10-Datos!W10)/Datos!W10," - ")</f>
        <v>-0.26923076923076922</v>
      </c>
      <c r="I10" s="395">
        <f>IF(ISNUMBER((Tasas!C10-Datos!BE10)/Datos!BE10),(Tasas!C10-Datos!BE10)/Datos!BE10," - ")</f>
        <v>0.81944444444444431</v>
      </c>
      <c r="J10" s="394">
        <f>IF(ISNUMBER((Tasas!D10-Datos!BF10)/Datos!BF10),(Tasas!D10-Datos!BF10)/Datos!BF10," - ")</f>
        <v>0.10035366931918663</v>
      </c>
      <c r="K10" s="396">
        <f>IF(ISNUMBER((Tasas!E10-Datos!BG10)/Datos!BG10),(Tasas!E10-Datos!BG10)/Datos!BG10," - ")</f>
        <v>0.21973929236499079</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5.0828098229583098E-2</v>
      </c>
      <c r="I12" s="395">
        <f>IF(ISNUMBER((Tasas!C12-Datos!BE12)/Datos!BE12),(Tasas!C12-Datos!BE12)/Datos!BE12," - ")</f>
        <v>0.17017349758561168</v>
      </c>
      <c r="J12" s="394">
        <f>IF(ISNUMBER((Tasas!D12-Datos!BF12)/Datos!BF12),(Tasas!D12-Datos!BF12)/Datos!BF12," - ")</f>
        <v>-0.39864745403111734</v>
      </c>
      <c r="K12" s="396">
        <f>IF(ISNUMBER((Tasas!E12-Datos!BG12)/Datos!BG12),(Tasas!E12-Datos!BG12)/Datos!BG12," - ")</f>
        <v>7.7336017917676234E-2</v>
      </c>
      <c r="M12" t="e">
        <f>IF(Monitorios="SI",Datos!CE12,0)</f>
        <v>#REF!</v>
      </c>
      <c r="N12" t="e">
        <f>IF(Monitorios="SI",Datos!CF12,0)</f>
        <v>#REF!</v>
      </c>
      <c r="O12" t="e">
        <f>IF(Monitorios="SI",Datos!CG12,0)</f>
        <v>#REF!</v>
      </c>
      <c r="P12" t="e">
        <f>IF(Monitorios="SI",Datos!CH12,0)</f>
        <v>#REF!</v>
      </c>
      <c r="Q12">
        <f>IF(J_V="SI",0,Datos!AG12)</f>
        <v>63</v>
      </c>
      <c r="R12">
        <f>IF(J_V="SI",0,Datos!AH12)</f>
        <v>584</v>
      </c>
      <c r="S12">
        <f>IF(J_V="SI",0,Datos!AI12)</f>
        <v>586</v>
      </c>
      <c r="T12">
        <f>IF(J_V="SI",0,Datos!AJ12)</f>
        <v>83</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4.1597337770382693E-2</v>
      </c>
      <c r="I14" s="402">
        <f>IF(ISNUMBER((Tasas!C14-Datos!BE14)/Datos!BE14),(Tasas!C14-Datos!BE14)/Datos!BE14," - ")</f>
        <v>0.17681158252527948</v>
      </c>
      <c r="J14" s="400">
        <f>IF(ISNUMBER((Tasas!D14-Datos!BF14)/Datos!BF14),(Tasas!D14-Datos!BF14)/Datos!BF14," - ")</f>
        <v>-0.39342247486206089</v>
      </c>
      <c r="K14" s="403">
        <f>IF(ISNUMBER((Tasas!E14-Datos!BG14)/Datos!BG14),(Tasas!E14-Datos!BG14)/Datos!BG14," - ")</f>
        <v>7.9436338323923578E-2</v>
      </c>
      <c r="M14" t="e">
        <f>IF(Monitorios="SI",Datos!CE14,0)</f>
        <v>#REF!</v>
      </c>
      <c r="N14" t="e">
        <f>IF(Monitorios="SI",Datos!CF14,0)</f>
        <v>#REF!</v>
      </c>
      <c r="O14" t="e">
        <f>IF(Monitorios="SI",Datos!CG14,0)</f>
        <v>#REF!</v>
      </c>
      <c r="P14" t="e">
        <f>IF(Monitorios="SI",Datos!CH14,0)</f>
        <v>#REF!</v>
      </c>
      <c r="Q14">
        <f>IF(J_V="SI",0,Datos!AG14)</f>
        <v>63</v>
      </c>
      <c r="R14">
        <f>IF(J_V="SI",0,Datos!AH14)</f>
        <v>584</v>
      </c>
      <c r="S14">
        <f>IF(J_V="SI",0,Datos!AI14)</f>
        <v>586</v>
      </c>
      <c r="T14">
        <f>IF(J_V="SI",0,Datos!AJ14)</f>
        <v>83</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1.7033651848774409E-2</v>
      </c>
      <c r="E17" s="393">
        <f>IF(ISNUMBER(
   IF(D_I="SI",(Datos!J17-Datos!T17)/Datos!T17,(Datos!J17+Datos!AD17-(Datos!T17+Datos!AL17))/(Datos!T17+Datos!AL17))
     ),IF(D_I="SI",(Datos!J17-Datos!T17)/Datos!T17,(Datos!J17+Datos!AD17-(Datos!T17+Datos!AL17))/(Datos!T17+Datos!AL17))," - ")</f>
        <v>3.9817842129845869E-2</v>
      </c>
      <c r="F17" s="393">
        <f>IF(ISNUMBER(
   IF(D_I="SI",(Datos!K17-Datos!U17)/Datos!U17,(Datos!K17+Datos!AE17-(Datos!U17+Datos!AM17))/(Datos!U17+Datos!AM17))
     ),IF(D_I="SI",(Datos!K17-Datos!U17)/Datos!U17,(Datos!K17+Datos!AE17-(Datos!U17+Datos!AM17))/(Datos!U17+Datos!AM17))," - ")</f>
        <v>5.8331396699976758E-2</v>
      </c>
      <c r="G17" s="394">
        <f>IF(ISNUMBER(
   IF(D_I="SI",(Datos!L17-Datos!V17)/Datos!V17,(Datos!L17+Datos!AF17-(Datos!V17+Datos!AN17))/(Datos!V17+Datos!AN17))
     ),IF(D_I="SI",(Datos!L17-Datos!V17)/Datos!V17,(Datos!L17+Datos!AF17-(Datos!V17+Datos!AN17))/(Datos!V17+Datos!AN17))," - ")</f>
        <v>-0.10416666666666667</v>
      </c>
      <c r="H17" s="244">
        <f>IF(ISNUMBER((Datos!M17-Datos!W17)/Datos!W17),(Datos!M17-Datos!W17)/Datos!W17," - ")</f>
        <v>4.288321167883212E-2</v>
      </c>
      <c r="I17" s="395">
        <f>IF(ISNUMBER((Tasas!C17-Datos!BE17)/Datos!BE17),(Tasas!C17-Datos!BE17)/Datos!BE17," - ")</f>
        <v>-0.15354175816132334</v>
      </c>
      <c r="J17" s="394">
        <f>IF(ISNUMBER((Tasas!D17-Datos!BF17)/Datos!BF17),(Tasas!D17-Datos!BF17)/Datos!BF17," - ")</f>
        <v>-1.4596736966619539E-2</v>
      </c>
      <c r="K17" s="396">
        <f>IF(ISNUMBER((Tasas!E17-Datos!BG17)/Datos!BG17),(Tasas!E17-Datos!BG17)/Datos!BG17," - ")</f>
        <v>-2.2216413800154315E-2</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-6.8421052631578952E-2</v>
      </c>
      <c r="E18" s="393">
        <f>IF(ISNUMBER(
   IF(D_I="SI",(Datos!J18-Datos!T18)/Datos!T18,(Datos!J18+Datos!AD18-(Datos!T18+Datos!AL18))/(Datos!T18+Datos!AL18))
     ),IF(D_I="SI",(Datos!J18-Datos!T18)/Datos!T18,(Datos!J18+Datos!AD18-(Datos!T18+Datos!AL18))/(Datos!T18+Datos!AL18))," - ")</f>
        <v>-4.3984476067270378E-2</v>
      </c>
      <c r="F18" s="393">
        <f>IF(ISNUMBER(
   IF(D_I="SI",(Datos!K18-Datos!U18)/Datos!U18,(Datos!K18+Datos!AE18-(Datos!U18+Datos!AM18))/(Datos!U18+Datos!AM18))
     ),IF(D_I="SI",(Datos!K18-Datos!U18)/Datos!U18,(Datos!K18+Datos!AE18-(Datos!U18+Datos!AM18))/(Datos!U18+Datos!AM18))," - ")</f>
        <v>-1.9083969465648856E-2</v>
      </c>
      <c r="G18" s="394">
        <f>IF(ISNUMBER(
   IF(D_I="SI",(Datos!L18-Datos!V18)/Datos!V18,(Datos!L18+Datos!AF18-(Datos!V18+Datos!AN18))/(Datos!V18+Datos!AN18))
     ),IF(D_I="SI",(Datos!L18-Datos!V18)/Datos!V18,(Datos!L18+Datos!AF18-(Datos!V18+Datos!AN18))/(Datos!V18+Datos!AN18))," - ")</f>
        <v>-0.1807909604519774</v>
      </c>
      <c r="H18" s="244">
        <f>IF(ISNUMBER((Datos!M18-Datos!W18)/Datos!W18),(Datos!M18-Datos!W18)/Datos!W18," - ")</f>
        <v>-4.4776119402985072E-2</v>
      </c>
      <c r="I18" s="395">
        <f>IF(ISNUMBER((Tasas!C18-Datos!BE18)/Datos!BE18),(Tasas!C18-Datos!BE18)/Datos!BE18," - ")</f>
        <v>-0.16485304139462284</v>
      </c>
      <c r="J18" s="394">
        <f>IF(ISNUMBER((Tasas!D18-Datos!BF18)/Datos!BF18),(Tasas!D18-Datos!BF18)/Datos!BF18," - ")</f>
        <v>-2.6191997212381697E-2</v>
      </c>
      <c r="K18" s="396">
        <f>IF(ISNUMBER((Tasas!E18-Datos!BG18)/Datos!BG18),(Tasas!E18-Datos!BG18)/Datos!BG18," - ")</f>
        <v>-3.0300091720506999E-2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0.22762148337595908</v>
      </c>
      <c r="E21" s="393">
        <f>IF(ISNUMBER((Datos!J21-Datos!T21)/Datos!T21),(Datos!J21-Datos!T21)/Datos!T21," - ")</f>
        <v>2.5134649910233394E-2</v>
      </c>
      <c r="F21" s="393">
        <f>IF(ISNUMBER((Datos!K21-Datos!U21)/Datos!U21),(Datos!K21-Datos!U21)/Datos!U21," - ")</f>
        <v>6.3461538461538458E-2</v>
      </c>
      <c r="G21" s="394">
        <f>IF(ISNUMBER((Datos!L21-Datos!V21)/Datos!V21),(Datos!L21-Datos!V21)/Datos!V21," - ")</f>
        <v>0.13541666666666666</v>
      </c>
      <c r="H21" s="244">
        <f>IF(ISNUMBER((Datos!M21-Datos!W21)/Datos!W21),(Datos!M21-Datos!W21)/Datos!W21," - ")</f>
        <v>3.6194415718717683E-2</v>
      </c>
      <c r="I21" s="395">
        <f>IF(ISNUMBER((Tasas!C21-Datos!BE21)/Datos!BE21),(Tasas!C21-Datos!BE21)/Datos!BE21," - ")</f>
        <v>6.766124171187457E-2</v>
      </c>
      <c r="J21" s="394">
        <f>IF(ISNUMBER((Tasas!D21-Datos!BF21)/Datos!BF21),(Tasas!D21-Datos!BF21)/Datos!BF21," - ")</f>
        <v>-2.5639970752742939E-2</v>
      </c>
      <c r="K21" s="396">
        <f>IF(ISNUMBER((Tasas!E21-Datos!BG21)/Datos!BG21),(Tasas!E21-Datos!BG21)/Datos!BG21," - ")</f>
        <v>1.3427213687947982E-2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3.9156626506024098E-2</v>
      </c>
      <c r="E23" s="399">
        <f>IF(ISNUMBER(
   IF(D_I="SI",(Datos!J23-Datos!T23)/Datos!T23,(Datos!J23+Datos!AD23-(Datos!T23+Datos!AL23))/(Datos!T23+Datos!AL23))
     ),IF(D_I="SI",(Datos!J23-Datos!T23)/Datos!T23,(Datos!J23+Datos!AD23-(Datos!T23+Datos!AL23))/(Datos!T23+Datos!AL23))," - ")</f>
        <v>3.2054348866137214E-2</v>
      </c>
      <c r="F23" s="399">
        <f>IF(ISNUMBER(
   IF(D_I="SI",(Datos!K23-Datos!U23)/Datos!U23,(Datos!K23+Datos!AE23-(Datos!U23+Datos!AM23))/(Datos!U23+Datos!AM23))
     ),IF(D_I="SI",(Datos!K23-Datos!U23)/Datos!U23,(Datos!K23+Datos!AE23-(Datos!U23+Datos!AM23))/(Datos!U23+Datos!AM23))," - ")</f>
        <v>5.3009969325153374E-2</v>
      </c>
      <c r="G23" s="400">
        <f>IF(ISNUMBER(
   IF(D_I="SI",(Datos!L23-Datos!V23)/Datos!V23,(Datos!L23+Datos!AF23-(Datos!V23+Datos!AN23))/(Datos!V23+Datos!AN23))
     ),IF(D_I="SI",(Datos!L23-Datos!V23)/Datos!V23,(Datos!L23+Datos!AF23-(Datos!V23+Datos!AN23))/(Datos!V23+Datos!AN23))," - ")</f>
        <v>-7.1497584541062809E-2</v>
      </c>
      <c r="H23" s="401">
        <f>IF(ISNUMBER((Datos!M23-Datos!W23)/Datos!W23),(Datos!M23-Datos!W23)/Datos!W23," - ")</f>
        <v>3.7089201877934269E-2</v>
      </c>
      <c r="I23" s="402">
        <f>IF(ISNUMBER((Tasas!C23-Datos!BE23)/Datos!BE23),(Tasas!C23-Datos!BE23)/Datos!BE23," - ")</f>
        <v>-0.11823967245629191</v>
      </c>
      <c r="J23" s="400">
        <f>IF(ISNUMBER((Tasas!D23-Datos!BF23)/Datos!BF23),(Tasas!D23-Datos!BF23)/Datos!BF23," - ")</f>
        <v>-1.5119294129211567E-2</v>
      </c>
      <c r="K23" s="403">
        <f>IF(ISNUMBER((Tasas!E23-Datos!BG23)/Datos!BG23),(Tasas!E23-Datos!BG23)/Datos!BG23," - ")</f>
        <v>-1.8401074082344468E-2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-7.2486360093530794E-2</v>
      </c>
      <c r="E28" s="393">
        <f>IF(ISNUMBER((Datos!J28-Datos!T28)/Datos!T28),(Datos!J28-Datos!T28)/Datos!T28," - ")</f>
        <v>6.2256809338521402E-2</v>
      </c>
      <c r="F28" s="393">
        <f>IF(ISNUMBER((Datos!K28-Datos!U28)/Datos!U28),(Datos!K28-Datos!U28)/Datos!U28," - ")</f>
        <v>-5.5797733217088058E-2</v>
      </c>
      <c r="G28" s="394">
        <f>IF(ISNUMBER((Datos!L28-Datos!V28)/Datos!V28),(Datos!L28-Datos!V28)/Datos!V28," - ")</f>
        <v>1.5966386554621848E-2</v>
      </c>
      <c r="H28" s="244">
        <f>IF(ISNUMBER((Datos!M28-Datos!W28)/Datos!W28),(Datos!M28-Datos!W28)/Datos!W28," - ")</f>
        <v>-0.15258215962441316</v>
      </c>
      <c r="I28" s="395">
        <f>IF(ISNUMBER((Tasas!C28-Datos!BE28)/Datos!BE28),(Tasas!C28-Datos!BE28)/Datos!BE28," - ")</f>
        <v>7.6005028050001172E-2</v>
      </c>
      <c r="J28" s="394">
        <f>IF(ISNUMBER((Tasas!D28-Datos!BF28)/Datos!BF28),(Tasas!D28-Datos!BF28)/Datos!BF28," - ")</f>
        <v>-0.1025039123630674</v>
      </c>
      <c r="K28" s="396">
        <f>IF(ISNUMBER((Tasas!E28-Datos!BG28)/Datos!BG28),(Tasas!E28-Datos!BG28)/Datos!BG28," - ")</f>
        <v>4.580486037111034E-2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-7.2486360093530794E-2</v>
      </c>
      <c r="E30" s="1109">
        <f>IF(ISNUMBER((Datos!J30-Datos!T30)/Datos!T30),(Datos!J30-Datos!T30)/Datos!T30," - ")</f>
        <v>6.2256809338521402E-2</v>
      </c>
      <c r="F30" s="1109">
        <f>IF(ISNUMBER((Datos!K30-Datos!U30)/Datos!U30),(Datos!K30-Datos!U30)/Datos!U30," - ")</f>
        <v>-5.5797733217088058E-2</v>
      </c>
      <c r="G30" s="1110">
        <f>IF(ISNUMBER((Datos!L30-Datos!V30)/Datos!V30),(Datos!L30-Datos!V30)/Datos!V30," - ")</f>
        <v>1.5966386554621848E-2</v>
      </c>
      <c r="H30" s="1111">
        <f>IF(ISNUMBER((Datos!M30-Datos!W30)/Datos!W30),(Datos!M30-Datos!W30)/Datos!W30," - ")</f>
        <v>-0.15258215962441316</v>
      </c>
      <c r="I30" s="1112">
        <f>IF(ISNUMBER((Tasas!C30-Datos!BE30)/Datos!BE30),(Tasas!C30-Datos!BE30)/Datos!BE30," - ")</f>
        <v>7.6005028050001172E-2</v>
      </c>
      <c r="J30" s="1110">
        <f>IF(ISNUMBER((Tasas!D30-Datos!BF30)/Datos!BF30),(Tasas!D30-Datos!BF30)/Datos!BF30," - ")</f>
        <v>-0.1025039123630674</v>
      </c>
      <c r="K30" s="1113">
        <f>IF(ISNUMBER((Tasas!E30-Datos!BG30)/Datos!BG30),(Tasas!E30-Datos!BG30)/Datos!BG30," - ")</f>
        <v>4.580486037111034E-2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2.7973568281938328E-2</v>
      </c>
      <c r="E31" s="409">
        <f>IF(ISNUMBER(
   IF(J_V="SI",(Datos!J31-Datos!T31)/Datos!T31,(Datos!J31+Datos!Z31-(Datos!T31+Datos!AH31))/(Datos!T31+Datos!AH31))
     ),IF(J_V="SI",(Datos!J31-Datos!T31)/Datos!T31,(Datos!J31+Datos!Z31-(Datos!T31+Datos!AH31))/(Datos!T31+Datos!AH31))," - ")</f>
        <v>8.515360944357564E-2</v>
      </c>
      <c r="F31" s="409">
        <f>IF(ISNUMBER(
   IF(J_V="SI",(Datos!K31-Datos!U31)/Datos!U31,(Datos!K31+Datos!AA31-(Datos!U31+Datos!AI31))/(Datos!U31+Datos!AI31))
     ),IF(J_V="SI",(Datos!K31-Datos!U31)/Datos!U31,(Datos!K31+Datos!AA31-(Datos!U31+Datos!AI31))/(Datos!U31+Datos!AI31))," - ")</f>
        <v>3.8544759221053694E-2</v>
      </c>
      <c r="G31" s="410">
        <f>IF(ISNUMBER(
   IF(J_V="SI",(Datos!L31-Datos!V31)/Datos!V31,(Datos!L31+Datos!AB31-(Datos!V31+Datos!AJ31))/(Datos!V31+Datos!AJ31))
     ),IF(J_V="SI",(Datos!L31-Datos!V31)/Datos!V31,(Datos!L31+Datos!AB31-(Datos!V31+Datos!AJ31))/(Datos!V31+Datos!AJ31))," - ")</f>
        <v>9.492179130062138E-2</v>
      </c>
      <c r="H31" s="411">
        <f>IF(ISNUMBER((Datos!M31-Datos!W31)/Datos!W31),(Datos!M31-Datos!W31)/Datos!W31," - ")</f>
        <v>2.041752695572379E-2</v>
      </c>
      <c r="I31" s="408">
        <f>IF(ISNUMBER((Tasas!C31-Datos!BE31)/Datos!BE31),(Tasas!C31-Datos!BE31)/Datos!BE31," - ")</f>
        <v>5.4284643563992901E-2</v>
      </c>
      <c r="J31" s="409">
        <f>IF(ISNUMBER((Tasas!D31-Datos!BF31)/Datos!BF31),(Tasas!D31-Datos!BF31)/Datos!BF31," - ")</f>
        <v>-0.22858140620433628</v>
      </c>
      <c r="K31" s="410">
        <f>IF(ISNUMBER((Tasas!E31-Datos!BG31)/Datos!BG31),(Tasas!E31-Datos!BG31)/Datos!BG31," - ")</f>
        <v>2.7582343073178642E-2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0.13621912525024849</v>
      </c>
      <c r="E33" s="303">
        <f t="shared" si="1"/>
        <v>8.6219732984813988E-2</v>
      </c>
      <c r="F33" s="303">
        <f t="shared" si="1"/>
        <v>0.13993140974554211</v>
      </c>
      <c r="G33" s="304">
        <f t="shared" si="1"/>
        <v>0.13591998789055521</v>
      </c>
      <c r="H33" s="310">
        <f t="shared" si="1"/>
        <v>0.11787738558845562</v>
      </c>
      <c r="I33" s="302">
        <f t="shared" si="1"/>
        <v>0.29841439132153585</v>
      </c>
      <c r="J33" s="303">
        <f t="shared" si="1"/>
        <v>0.17329019914990032</v>
      </c>
      <c r="K33" s="304">
        <f t="shared" si="1"/>
        <v>7.743364848602538E-2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JFUrWVM+PYUK9bDSCaLiE8ayf7GjO6zXm7ui2bVzNbZK35GU7WGmUDyqvNI2Oq0OSRoLthHuC9oJKIH9KbhVw==" saltValue="AtFo15uzi8DEy/5Kb03TN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